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2" yWindow="11" windowWidth="11344" windowHeight="6540" activeTab="0"/>
  </bookViews>
  <sheets>
    <sheet name="Ergebnisse" sheetId="1" r:id="rId1"/>
    <sheet name="Berechnung" sheetId="2" r:id="rId2"/>
    <sheet name="Analyse" sheetId="3" r:id="rId3"/>
    <sheet name="Erläuterungen" sheetId="4" r:id="rId4"/>
    <sheet name="Stand" sheetId="5" r:id="rId5"/>
  </sheets>
  <definedNames>
    <definedName name="absolventen" localSheetId="2">'Analyse'!$C$16</definedName>
    <definedName name="absolventen">'Berechnung'!$E$13</definedName>
    <definedName name="Anfänger" localSheetId="2">'Analyse'!$C$4</definedName>
    <definedName name="Anfänger">'Berechnung'!$B$7</definedName>
    <definedName name="Anm._1">'Erläuterungen'!$E$3</definedName>
    <definedName name="Anm._2">'Erläuterungen'!$E$4</definedName>
    <definedName name="Anm._3">'Erläuterungen'!$E$5</definedName>
    <definedName name="Anm._4">'Erläuterungen'!$E$6</definedName>
    <definedName name="Aufsteiger" localSheetId="2">'Analyse'!#REF!</definedName>
    <definedName name="Aufsteiger">'Berechnung'!$E$10</definedName>
    <definedName name="Aufsteigerquote" localSheetId="2">'Analyse'!$C$6</definedName>
    <definedName name="Aufsteigerquote">'Berechnung'!$B$9</definedName>
    <definedName name="begriffe">'Erläuterungen'!$A$12</definedName>
    <definedName name="bvakost" localSheetId="2">'Analyse'!#REF!</definedName>
    <definedName name="bvakost">'Berechnung'!$C$132</definedName>
    <definedName name="dakosten" localSheetId="2">'Analyse'!#REF!</definedName>
    <definedName name="dakosten">'Berechnung'!$C$159</definedName>
    <definedName name="DozStd" localSheetId="2">'Analyse'!#REF!</definedName>
    <definedName name="DozStd">'Berechnung'!$B$39</definedName>
    <definedName name="_xlnm.Print_Area" localSheetId="2">'Analyse'!$A$1:$I$24</definedName>
    <definedName name="_xlnm.Print_Area" localSheetId="1">'Berechnung'!$A$1:$F$189</definedName>
    <definedName name="Einsteiger" localSheetId="2">'Analyse'!#REF!</definedName>
    <definedName name="Einsteiger">'Berechnung'!$E$9</definedName>
    <definedName name="fhbstd" localSheetId="2">'Analyse'!#REF!</definedName>
    <definedName name="gesamtkosten" localSheetId="2">'Analyse'!$C$17</definedName>
    <definedName name="gesamtkosten">'Berechnung'!#REF!</definedName>
    <definedName name="GesamtkostenEinsteiger" localSheetId="2">'Analyse'!#REF!</definedName>
    <definedName name="GesamtkostenEinsteiger">'Berechnung'!$F$110</definedName>
    <definedName name="Jahre" localSheetId="2">'Analyse'!$C$5</definedName>
    <definedName name="Jahre">'Berechnung'!$B$8</definedName>
    <definedName name="JahreskostenAufsteiger" localSheetId="2">'Analyse'!#REF!</definedName>
    <definedName name="JahreskostenAufsteiger">'Berechnung'!$B$20</definedName>
    <definedName name="JahreskostenDurchschnitt" localSheetId="2">'Analyse'!#REF!</definedName>
    <definedName name="JahreskostenDurchschnitt">'Berechnung'!$B$21</definedName>
    <definedName name="JahreskostenEinsteiger" localSheetId="2">'Analyse'!#REF!</definedName>
    <definedName name="JahreskostenEinsteiger">'Berechnung'!$E$109</definedName>
    <definedName name="JahresstundenBVA">'Berechnung'!$E$16</definedName>
    <definedName name="JahresstundenFHB">'Berechnung'!$E$15</definedName>
    <definedName name="kost1" localSheetId="2">'Analyse'!#REF!</definedName>
    <definedName name="kost1">'Berechnung'!$F$31</definedName>
    <definedName name="kost1a" localSheetId="2">'Analyse'!#REF!</definedName>
    <definedName name="kost1a">'Berechnung'!$F$21</definedName>
    <definedName name="kost2" localSheetId="2">'Analyse'!#REF!</definedName>
    <definedName name="kost2">'Berechnung'!$F$42</definedName>
    <definedName name="kost2proAbsolvent" localSheetId="2">'Analyse'!#REF!</definedName>
    <definedName name="kost2proAbsolvent">'Berechnung'!$E$44</definedName>
    <definedName name="kost3" localSheetId="2">'Analyse'!#REF!</definedName>
    <definedName name="kost3">'Berechnung'!$F$45</definedName>
    <definedName name="kost4" localSheetId="2">'Analyse'!#REF!</definedName>
    <definedName name="kost4">'Berechnung'!$F$54</definedName>
    <definedName name="kost4proAbsolvent" localSheetId="2">'Analyse'!#REF!</definedName>
    <definedName name="kost4proAbsolvent">'Berechnung'!$E$56</definedName>
    <definedName name="kost5" localSheetId="2">'Analyse'!#REF!</definedName>
    <definedName name="kost5">'Berechnung'!$F$57</definedName>
    <definedName name="kostdurchfall" localSheetId="2">'Analyse'!#REF!</definedName>
    <definedName name="kostdurchfall">'Berechnung'!$F$29</definedName>
    <definedName name="kurse" localSheetId="2">'Analyse'!#REF!</definedName>
    <definedName name="kurse">'Berechnung'!$E$11</definedName>
    <definedName name="Kursgröße" localSheetId="2">'Analyse'!$C$8</definedName>
    <definedName name="Kursgröße">'Berechnung'!$B$11</definedName>
    <definedName name="LehrkraftStunde" localSheetId="2">'Analyse'!#REF!</definedName>
    <definedName name="LehrkraftStunde">'Berechnung'!$B$121</definedName>
    <definedName name="Leistungsnachweise" localSheetId="2">'Analyse'!#REF!</definedName>
    <definedName name="Leistungsnachweise">'Berechnung'!$C$147</definedName>
    <definedName name="Misserfolgsquote" localSheetId="2">'Analyse'!$C$10</definedName>
    <definedName name="Misserfolgsquote">'Berechnung'!$B$13</definedName>
    <definedName name="Misserfolgzuschlag" localSheetId="2">'Analyse'!#REF!</definedName>
    <definedName name="Misserfolgzuschlag">'Berechnung'!$G$2</definedName>
    <definedName name="perskostdurchfall" localSheetId="2">'Analyse'!#REF!</definedName>
    <definedName name="perskostdurchfall">'Berechnung'!$F$29</definedName>
    <definedName name="PersonalmehrkostenAufsteiger" localSheetId="2">'Analyse'!#REF!</definedName>
    <definedName name="PersonalmehrkostenAufsteiger">'Berechnung'!$E$20</definedName>
    <definedName name="PersonalmehrkostenDurchschnitt" localSheetId="2">'Analyse'!#REF!</definedName>
    <definedName name="PersonalmehrkostenDurchschnitt">'Berechnung'!$E$21</definedName>
    <definedName name="plvstd" localSheetId="2">'Analyse'!#REF!</definedName>
    <definedName name="sachkostensatz" localSheetId="2">'Analyse'!#REF!</definedName>
    <definedName name="sachkostensatz">'Berechnung'!$C$50</definedName>
    <definedName name="Studiendauer" localSheetId="2">'Analyse'!$C$5</definedName>
    <definedName name="Studiendauer">'Berechnung'!$B$8</definedName>
    <definedName name="Studierende" localSheetId="2">'Analyse'!#REF!</definedName>
    <definedName name="Studierende">'Berechnung'!$E$8</definedName>
    <definedName name="StundenBVA">'Berechnung'!$C$16</definedName>
    <definedName name="StundenFHB">'Berechnung'!$C$15</definedName>
    <definedName name="StundenkostenStud">'Berechnung'!$E$23</definedName>
    <definedName name="Verlängerungsquote" localSheetId="2">'Analyse'!#REF!</definedName>
    <definedName name="Verlängerungsquote">'Berechnung'!$E$30</definedName>
    <definedName name="weitereKostenproAbsolvent" localSheetId="2">'Analyse'!#REF!</definedName>
    <definedName name="weitereKostenproAbsolvent">'Berechnung'!$G$6</definedName>
    <definedName name="Wiederholer" localSheetId="2">'Analyse'!#REF!</definedName>
    <definedName name="Wiederholer">'Berechnung'!$E$12</definedName>
    <definedName name="wiederholerkosten" localSheetId="2">'Analyse'!#REF!</definedName>
    <definedName name="Wiederholerkosten">'Berechnung'!$C$28</definedName>
    <definedName name="WiederholerkostenAufsteiger">'Berechnung'!$C$27</definedName>
    <definedName name="WiederholerkostenEinsteiger">'Berechnung'!$C$26</definedName>
    <definedName name="wiederholerquote" localSheetId="2">'Analyse'!$C$9</definedName>
    <definedName name="Wiederholerquote">'Berechnung'!$B$12</definedName>
    <definedName name="Z_265DC620_A4B3_11D7_8C08_0030840C2ED4_.wvu.PrintArea" localSheetId="2" hidden="1">'Analyse'!$A$15:$F$24</definedName>
    <definedName name="Z_265DC620_A4B3_11D7_8C08_0030840C2ED4_.wvu.PrintArea" localSheetId="1" hidden="1">'Berechnung'!$A$1:$F$189</definedName>
    <definedName name="Z_265DC620_A4B3_11D7_8C08_0030840C2ED4_.wvu.PrintArea" localSheetId="0" hidden="1">'Ergebnisse'!$A$1:$F$80</definedName>
  </definedNames>
  <calcPr fullCalcOnLoad="1"/>
</workbook>
</file>

<file path=xl/sharedStrings.xml><?xml version="1.0" encoding="utf-8"?>
<sst xmlns="http://schemas.openxmlformats.org/spreadsheetml/2006/main" count="271" uniqueCount="232">
  <si>
    <t>Studienanfänger p.a.</t>
  </si>
  <si>
    <t>Stunden</t>
  </si>
  <si>
    <t>Lehrdeputat</t>
  </si>
  <si>
    <t>benötigte Stunden insges.</t>
  </si>
  <si>
    <t>Deputate</t>
  </si>
  <si>
    <t>in %</t>
  </si>
  <si>
    <t>Aufsteiger</t>
  </si>
  <si>
    <t>Durchschnitt (gewichtet)</t>
  </si>
  <si>
    <t>Kosten pro Lehrv.-stunde</t>
  </si>
  <si>
    <r>
      <t>(Vollkosten lt. BMF-Tabelle</t>
    </r>
    <r>
      <rPr>
        <vertAlign val="superscript"/>
        <sz val="12"/>
        <rFont val="Arial"/>
        <family val="2"/>
      </rPr>
      <t>(2)</t>
    </r>
    <r>
      <rPr>
        <b/>
        <sz val="12"/>
        <rFont val="Arial"/>
        <family val="2"/>
      </rPr>
      <t>)</t>
    </r>
  </si>
  <si>
    <r>
      <t xml:space="preserve">Abzüge geschätzt </t>
    </r>
    <r>
      <rPr>
        <vertAlign val="superscript"/>
        <sz val="12"/>
        <rFont val="Arial"/>
        <family val="2"/>
      </rPr>
      <t>(5)</t>
    </r>
  </si>
  <si>
    <t>€ p.a.</t>
  </si>
  <si>
    <t>Stunden p.a.</t>
  </si>
  <si>
    <t>verschlechtert, entspricht dies einer Wertänderung pro Jahr von ca. Euro</t>
  </si>
  <si>
    <t>Summe</t>
  </si>
  <si>
    <t>Erstbetreuer</t>
  </si>
  <si>
    <t>Betreuungszuschlag 10%</t>
  </si>
  <si>
    <t>durch Prüfungsamt</t>
  </si>
  <si>
    <t>Kurse</t>
  </si>
  <si>
    <t>Stunden pro Kurs und Jahr</t>
  </si>
  <si>
    <t>Stellen g.D.</t>
  </si>
  <si>
    <t>Kosten / Stelle</t>
  </si>
  <si>
    <t>Zwischensumme</t>
  </si>
  <si>
    <t>Sachkosten (Räume, Material)</t>
  </si>
  <si>
    <t>Stundensatz Lehre</t>
  </si>
  <si>
    <t>Summe 2: Personalkosten der Lehre FHB</t>
  </si>
  <si>
    <t>Summe 1: Personalkosten Studierende</t>
  </si>
  <si>
    <t>Einsteiger</t>
  </si>
  <si>
    <t>gehaltene Stunden</t>
  </si>
  <si>
    <t>Studiendauer (Jahre)</t>
  </si>
  <si>
    <t>Anteil GS</t>
  </si>
  <si>
    <t>Anteil HS</t>
  </si>
  <si>
    <t>Aufsteiger A 8</t>
  </si>
  <si>
    <t>2. Personalkosten Studierende</t>
  </si>
  <si>
    <r>
      <t xml:space="preserve">Dozent (geschätzt) </t>
    </r>
    <r>
      <rPr>
        <vertAlign val="superscript"/>
        <sz val="12"/>
        <rFont val="Arial"/>
        <family val="2"/>
      </rPr>
      <t>(4)</t>
    </r>
  </si>
  <si>
    <t>€ / Stunde</t>
  </si>
  <si>
    <t>Lehrveranstaltungsstunden p.a.</t>
  </si>
  <si>
    <t>ergibt Deputate (GS+HS)</t>
  </si>
  <si>
    <t xml:space="preserve">Studierende </t>
  </si>
  <si>
    <t>Aufsteiger-Quote</t>
  </si>
  <si>
    <t>Wiederholerquote</t>
  </si>
  <si>
    <r>
      <t xml:space="preserve">Mio. €/a </t>
    </r>
    <r>
      <rPr>
        <vertAlign val="superscript"/>
        <sz val="12"/>
        <rFont val="Arial"/>
        <family val="2"/>
      </rPr>
      <t>1)</t>
    </r>
  </si>
  <si>
    <t>ergibt p.a.</t>
  </si>
  <si>
    <t>Wiederholer</t>
  </si>
  <si>
    <t>kost2</t>
  </si>
  <si>
    <t>kost3</t>
  </si>
  <si>
    <t>kost4</t>
  </si>
  <si>
    <t>€ pro Student</t>
  </si>
  <si>
    <t>alle Stud. p.a.</t>
  </si>
  <si>
    <t>p.P.u.Jahr</t>
  </si>
  <si>
    <t>Zulagen (z.B. Familien...)</t>
  </si>
  <si>
    <t>Faktor</t>
  </si>
  <si>
    <t>Betrag</t>
  </si>
  <si>
    <t>Kostenart</t>
  </si>
  <si>
    <t>Jahresbetrag</t>
  </si>
  <si>
    <t>JahreskostenEinsteiger</t>
  </si>
  <si>
    <r>
      <t>Anwärtergrundbetrag/Monat</t>
    </r>
    <r>
      <rPr>
        <vertAlign val="superscript"/>
        <sz val="12"/>
        <rFont val="Arial"/>
        <family val="2"/>
      </rPr>
      <t>7)</t>
    </r>
  </si>
  <si>
    <r>
      <t>Personalgemeinkosten</t>
    </r>
    <r>
      <rPr>
        <vertAlign val="superscript"/>
        <sz val="12"/>
        <rFont val="Arial"/>
        <family val="2"/>
      </rPr>
      <t>9)</t>
    </r>
  </si>
  <si>
    <r>
      <t>Nebenkosten</t>
    </r>
    <r>
      <rPr>
        <vertAlign val="superscript"/>
        <sz val="12"/>
        <rFont val="Arial"/>
        <family val="2"/>
      </rPr>
      <t>9)</t>
    </r>
  </si>
  <si>
    <r>
      <t>Versorgungszuschlag A9</t>
    </r>
    <r>
      <rPr>
        <vertAlign val="superscript"/>
        <sz val="12"/>
        <rFont val="Arial"/>
        <family val="2"/>
      </rPr>
      <t>10)</t>
    </r>
  </si>
  <si>
    <t>Personalkosten Betreuung</t>
  </si>
  <si>
    <t>Schätzdaten</t>
  </si>
  <si>
    <t>Lehrkraft</t>
  </si>
  <si>
    <t>A 12 als Durchschnittssatz</t>
  </si>
  <si>
    <t>Stunden pro Jahr</t>
  </si>
  <si>
    <t>Abzüge geschätzt</t>
  </si>
  <si>
    <t>Vorbereitung, Verwaltung usw.</t>
  </si>
  <si>
    <t>Personalkosten PLV</t>
  </si>
  <si>
    <t>(Berechnung)</t>
  </si>
  <si>
    <t>Weitere Kosten sind u.a.</t>
  </si>
  <si>
    <t>Summe 4: vorläufige Endsumme</t>
  </si>
  <si>
    <t>Prüfungsamt Stellen g.D.</t>
  </si>
  <si>
    <t>Prüfungsvergütungen</t>
  </si>
  <si>
    <t>Prüflinge</t>
  </si>
  <si>
    <t>Leistungsnachweise</t>
  </si>
  <si>
    <t>Deputatsanrechnung</t>
  </si>
  <si>
    <t>pro Jahr</t>
  </si>
  <si>
    <t>alle Studierenden</t>
  </si>
  <si>
    <t>Deputatskosten</t>
  </si>
  <si>
    <t>Absolventen</t>
  </si>
  <si>
    <r>
      <t xml:space="preserve">Misserfolgsquote LBP </t>
    </r>
    <r>
      <rPr>
        <vertAlign val="superscript"/>
        <sz val="12"/>
        <rFont val="Arial"/>
        <family val="2"/>
      </rPr>
      <t>1a)</t>
    </r>
  </si>
  <si>
    <t>Prüfer</t>
  </si>
  <si>
    <t>lt. Curriculum</t>
  </si>
  <si>
    <t>0,5 Zeitstunden / 2,3</t>
  </si>
  <si>
    <t>Misserfolgs-Zuschlagfaktor</t>
  </si>
  <si>
    <t>Zusatzkosten d. Wiederholung LBP (Verlängerung um 0,5 Jahre)</t>
  </si>
  <si>
    <r>
      <t>Verlängerung</t>
    </r>
    <r>
      <rPr>
        <sz val="12"/>
        <rFont val="Arial"/>
        <family val="2"/>
      </rPr>
      <t xml:space="preserve"> wg. Krankheit, Mutterschutz usw. bei Quote</t>
    </r>
  </si>
  <si>
    <t xml:space="preserve"> mal Wiederholerzahl</t>
  </si>
  <si>
    <t>p.P. insges.</t>
  </si>
  <si>
    <t>Personalkosten Absolvent</t>
  </si>
  <si>
    <t>Normalkosten</t>
  </si>
  <si>
    <t>Durchschnitt</t>
  </si>
  <si>
    <t xml:space="preserve"> + Wiederholer</t>
  </si>
  <si>
    <t xml:space="preserve"> + Misserfolg</t>
  </si>
  <si>
    <t>Gesamtkosten</t>
  </si>
  <si>
    <t>3. Personalkosten der Lehre FHB</t>
  </si>
  <si>
    <r>
      <t>4. Wert von 1%:</t>
    </r>
    <r>
      <rPr>
        <sz val="12"/>
        <rFont val="Arial"/>
        <family val="2"/>
      </rPr>
      <t xml:space="preserve"> Wenn sich die Ausbildung um 1% verbessert oder </t>
    </r>
  </si>
  <si>
    <t>Verteilung auf Grund- und Hauptstudium</t>
  </si>
  <si>
    <r>
      <t>5. Sachkosten FHB</t>
    </r>
    <r>
      <rPr>
        <sz val="12"/>
        <rFont val="Arial"/>
        <family val="2"/>
      </rPr>
      <t xml:space="preserve"> (geschätzt </t>
    </r>
    <r>
      <rPr>
        <vertAlign val="superscript"/>
        <sz val="12"/>
        <rFont val="Arial"/>
        <family val="2"/>
      </rPr>
      <t>6)</t>
    </r>
    <r>
      <rPr>
        <sz val="12"/>
        <rFont val="Arial"/>
        <family val="2"/>
      </rPr>
      <t>)</t>
    </r>
  </si>
  <si>
    <r>
      <t>6. BVA</t>
    </r>
    <r>
      <rPr>
        <sz val="12"/>
        <rFont val="Arial"/>
        <family val="2"/>
      </rPr>
      <t xml:space="preserve"> (einschl. PLV)</t>
    </r>
  </si>
  <si>
    <r>
      <t>7. Prüfungen</t>
    </r>
    <r>
      <rPr>
        <sz val="12"/>
        <rFont val="Arial"/>
        <family val="2"/>
      </rPr>
      <t xml:space="preserve"> und Leistungsnachweise</t>
    </r>
  </si>
  <si>
    <r>
      <t>8. Diplomarbeiten</t>
    </r>
    <r>
      <rPr>
        <sz val="12"/>
        <rFont val="Arial"/>
        <family val="2"/>
      </rPr>
      <t xml:space="preserve"> ca.</t>
    </r>
  </si>
  <si>
    <t xml:space="preserve"> (Stunden pro Jahr mal Zahl der Kurse)</t>
  </si>
  <si>
    <t xml:space="preserve"> = Lehrleistung netto</t>
  </si>
  <si>
    <t xml:space="preserve"> (benötigte Stunden durch Lehrleistung netto)</t>
  </si>
  <si>
    <t>Einzelrechnungen zu den oben verwendeten Daten</t>
  </si>
  <si>
    <t>Stunden lt. Curriculum</t>
  </si>
  <si>
    <t xml:space="preserve"> /Studiendauer</t>
  </si>
  <si>
    <t>davon             FHB</t>
  </si>
  <si>
    <t xml:space="preserve">  PLV (BVA)</t>
  </si>
  <si>
    <t>11. BVA-Kosten (PLV, Betreuung)</t>
  </si>
  <si>
    <t>11. a) PLV-Kosten</t>
  </si>
  <si>
    <t>11. b) Betreuung</t>
  </si>
  <si>
    <t>12. Prüfungen und Leistungsnachweise</t>
  </si>
  <si>
    <t>12. a) Laufbahnprüfung</t>
  </si>
  <si>
    <t>12. b) LN im Studium</t>
  </si>
  <si>
    <t xml:space="preserve"> (Klausuren pro Jahr)</t>
  </si>
  <si>
    <t>13. Kosten der Dipl.-Arbeiten (nur Zusatzkosten)</t>
  </si>
  <si>
    <r>
      <t>Summe 3: Zwischensumme</t>
    </r>
    <r>
      <rPr>
        <sz val="12"/>
        <rFont val="Arial"/>
        <family val="2"/>
      </rPr>
      <t xml:space="preserve"> (Summe 1 + Summe 2)</t>
    </r>
  </si>
  <si>
    <t>kost5</t>
  </si>
  <si>
    <t>Summe 4: Sach- und weitere Kosten</t>
  </si>
  <si>
    <t>nachrichtlich:</t>
  </si>
  <si>
    <t>Anteil an den Gesamtkosten:</t>
  </si>
  <si>
    <t>Kosten pro Absolvent</t>
  </si>
  <si>
    <t xml:space="preserve">nachrichtlich: </t>
  </si>
  <si>
    <t xml:space="preserve"> mal Studiendauer (Jahre)</t>
  </si>
  <si>
    <t>GesamtkostenEinsteiger</t>
  </si>
  <si>
    <t>(kost1)</t>
  </si>
  <si>
    <r>
      <t>Kursgröße</t>
    </r>
    <r>
      <rPr>
        <sz val="10"/>
        <rFont val="Arial"/>
        <family val="2"/>
      </rPr>
      <t xml:space="preserve"> (ohne Wiederh.)</t>
    </r>
  </si>
  <si>
    <t>PersKostAnteil</t>
  </si>
  <si>
    <t xml:space="preserve"> +weitere Kosten von</t>
  </si>
  <si>
    <t>weitere Kosten / Absolvent</t>
  </si>
  <si>
    <r>
      <t>(Vollkosten lt. BMF-Tabelle</t>
    </r>
    <r>
      <rPr>
        <vertAlign val="superscript"/>
        <sz val="12"/>
        <rFont val="Arial"/>
        <family val="2"/>
      </rPr>
      <t>2)</t>
    </r>
    <r>
      <rPr>
        <b/>
        <sz val="12"/>
        <rFont val="Arial"/>
        <family val="2"/>
      </rPr>
      <t>, soweit einschlägig)</t>
    </r>
  </si>
  <si>
    <t>Kostenzusammenstellung</t>
  </si>
  <si>
    <t>Kontrolldaten</t>
  </si>
  <si>
    <t>Gesamtkosten einer LVStunde</t>
  </si>
  <si>
    <t>Kosten/Wert einer FHB-LVStunde</t>
  </si>
  <si>
    <t>Datum</t>
  </si>
  <si>
    <t>Art der Änderung</t>
  </si>
  <si>
    <t>Kosten des Arbeitsplatzes nachgetragen</t>
  </si>
  <si>
    <t>Gesamt</t>
  </si>
  <si>
    <r>
      <t xml:space="preserve">Einsteiger </t>
    </r>
    <r>
      <rPr>
        <u val="single"/>
        <vertAlign val="superscript"/>
        <sz val="12"/>
        <color indexed="12"/>
        <rFont val="Arial"/>
        <family val="2"/>
      </rPr>
      <t>3)</t>
    </r>
    <r>
      <rPr>
        <u val="single"/>
        <sz val="12"/>
        <rFont val="Arial"/>
        <family val="2"/>
      </rPr>
      <t xml:space="preserve"> (s. Berechn.)</t>
    </r>
  </si>
  <si>
    <t>PLV</t>
  </si>
  <si>
    <t>BVA</t>
  </si>
  <si>
    <t>Laufbahnbewerber</t>
  </si>
  <si>
    <t>Beamte des mittleren Dienstes, die zum Aufstieg durch Teilnahme am Studium zugelassen worden sind.</t>
  </si>
  <si>
    <t>FHB</t>
  </si>
  <si>
    <t>Fachhochschule des Bundes, Zentralbereich und Fachbereich AIV, Brühl</t>
  </si>
  <si>
    <t>AIV</t>
  </si>
  <si>
    <t>Anmerkungen</t>
  </si>
  <si>
    <t>Nr.</t>
  </si>
  <si>
    <t>Zeile</t>
  </si>
  <si>
    <t>(Fachbereich) Allgemeine und Innere Verwaltung (hier: des Bundes)</t>
  </si>
  <si>
    <r>
      <t xml:space="preserve">Sachkostenpauschale 
</t>
    </r>
    <r>
      <rPr>
        <sz val="10"/>
        <rFont val="Arial"/>
        <family val="2"/>
      </rPr>
      <t>(lt. BMF-Tabelle)</t>
    </r>
  </si>
  <si>
    <t>Abkürzungen / Begriffe / Quellen</t>
  </si>
  <si>
    <r>
      <t xml:space="preserve">(Link zu </t>
    </r>
    <r>
      <rPr>
        <b/>
        <u val="single"/>
        <sz val="11"/>
        <color indexed="12"/>
        <rFont val="Arial"/>
        <family val="2"/>
      </rPr>
      <t>Abkürzungen / Begriffe / Quellen</t>
    </r>
    <r>
      <rPr>
        <u val="single"/>
        <sz val="11"/>
        <color indexed="12"/>
        <rFont val="Arial"/>
        <family val="2"/>
      </rPr>
      <t>)</t>
    </r>
  </si>
  <si>
    <t>BMF-Tabelle</t>
  </si>
  <si>
    <t>BMF-Personalkostensätze und weitere Zahlen für Wirtschaftlichkeitsberechnungen (Quelle s. Online-Verwaltungslexikon)</t>
  </si>
  <si>
    <t>olev.de</t>
  </si>
  <si>
    <t>Online-Verwaltungslexikon http://www.olev.de</t>
  </si>
  <si>
    <t>Ergebnisse</t>
  </si>
  <si>
    <t>bei Ausgangsdaten</t>
  </si>
  <si>
    <t>Was-Wäre-Wenn-Analyse der Kosten der AIV-Ausbildung</t>
  </si>
  <si>
    <t>Absolventen pro Jahr</t>
  </si>
  <si>
    <t>Satz1</t>
  </si>
  <si>
    <t>Satz2</t>
  </si>
  <si>
    <t xml:space="preserve"> - Laufbahnbewerber</t>
  </si>
  <si>
    <t xml:space="preserve"> - Aufsteiger</t>
  </si>
  <si>
    <t xml:space="preserve"> - durchschnittlich</t>
  </si>
  <si>
    <t>Dep.-St. Pro Arbeit</t>
  </si>
  <si>
    <t xml:space="preserve">  * Kosten/DozStd =</t>
  </si>
  <si>
    <t xml:space="preserve">  * Diplomandenzahl =</t>
  </si>
  <si>
    <t>Zweitbetreuer</t>
  </si>
  <si>
    <t>Vergütung pro Arbeit</t>
  </si>
  <si>
    <t>aktueller Wert AIV: 10</t>
  </si>
  <si>
    <t>aktueller Wert AIV: 80 €</t>
  </si>
  <si>
    <t>13a. Gesamtkosten der Dipl.-Arbeiten (einschl. Personalkosten d. Stud.)</t>
  </si>
  <si>
    <t>Personalkosten der Stud. bei acht Wochen Bearbeitungszeit, pro Person</t>
  </si>
  <si>
    <t>Gesamtkosten der Dipl.</t>
  </si>
  <si>
    <t>pro Person</t>
  </si>
  <si>
    <t>p.P.gerundet</t>
  </si>
  <si>
    <t>insgesamt</t>
  </si>
  <si>
    <t>zusammen</t>
  </si>
  <si>
    <t>anteilig pro Diplomarbeit</t>
  </si>
  <si>
    <t xml:space="preserve">Aktuelle Zusatzrechnung:  Kosten f. Wiederholer </t>
  </si>
  <si>
    <t>Anzahl</t>
  </si>
  <si>
    <t>pro Wiederh.</t>
  </si>
  <si>
    <t>Lehrgang 93</t>
  </si>
  <si>
    <t>eigene Berechnung</t>
  </si>
  <si>
    <t>Formatierung geändert, 
Wiederholerkosten-Rechengrößen mit Namen versehen
Ergebnisse gesondert ausgewiesen.</t>
  </si>
  <si>
    <t>Ungefähre jährliche Kosten der AIV-Ausbildung für den Bund insgesamt</t>
  </si>
  <si>
    <t>1. Investitionen pro Jahr</t>
  </si>
  <si>
    <t xml:space="preserve"> - Personalkosten Hauptamtler</t>
  </si>
  <si>
    <t>50% der Personalkosten dividiert durch Zahl gegebener Lehrveranstaltungsstunden</t>
  </si>
  <si>
    <t>Personalkosten pro Lehrveranstaltungsstunde pro Person</t>
  </si>
  <si>
    <t>JahresstundenFHB</t>
  </si>
  <si>
    <t>JahresstundenBVA</t>
  </si>
  <si>
    <t>(z.T. ohne Gemeinkosten)</t>
  </si>
  <si>
    <t>Zur Kostenstruktur</t>
  </si>
  <si>
    <t>(bei Lehre durch Hauptamtler)</t>
  </si>
  <si>
    <t>2. Kosten pro Absolvent</t>
  </si>
  <si>
    <t>geringere Kosten bei Einsatz von Lehrbeauftragten</t>
  </si>
  <si>
    <t>sind nicht berücksichtigt</t>
  </si>
  <si>
    <t>http://www.verwaltungsmanagement.info/studium/reform/aiv-kosten.xls</t>
  </si>
  <si>
    <t>Online-Quelle</t>
  </si>
  <si>
    <t>Erläuterungen</t>
  </si>
  <si>
    <t>http://www.verwaltungsmanagement.info/studium/reform/aiv-kosten.htm</t>
  </si>
  <si>
    <t>Mio. €</t>
  </si>
  <si>
    <t xml:space="preserve">Summe </t>
  </si>
  <si>
    <t>Diskussion</t>
  </si>
  <si>
    <t>pro Einsteiger</t>
  </si>
  <si>
    <t>pro Aufsteiger</t>
  </si>
  <si>
    <t>Kosten durchschn.</t>
  </si>
  <si>
    <t>10. Personalkosten Einsteiger ("Laufbahnbewerber")</t>
  </si>
  <si>
    <r>
      <t>€ Gesamtkosten (3 Jahre)</t>
    </r>
    <r>
      <rPr>
        <vertAlign val="superscript"/>
        <sz val="12"/>
        <rFont val="Arial"/>
        <family val="2"/>
      </rPr>
      <t>1)</t>
    </r>
  </si>
  <si>
    <t>1. Ausgangsdaten</t>
  </si>
  <si>
    <t>(markierte</t>
  </si>
  <si>
    <t>Felder können verändert werden)</t>
  </si>
  <si>
    <t>Ergebnisse ergänzt, kleinere Format-Korrekturen</t>
  </si>
  <si>
    <t>Ergebnisdarstellung für Übernahme ins Internet optimiert</t>
  </si>
  <si>
    <r>
      <t>5. Personalkostenanteil der Lehre</t>
    </r>
    <r>
      <rPr>
        <sz val="12"/>
        <rFont val="Arial"/>
        <family val="2"/>
      </rPr>
      <t xml:space="preserve"> (bei hauptamtl. Doz.)</t>
    </r>
  </si>
  <si>
    <t xml:space="preserve"> - Laufbahnbewerber ("Einsteiger")</t>
  </si>
  <si>
    <t xml:space="preserve"> - Personalkosten 25 Studierende</t>
  </si>
  <si>
    <t xml:space="preserve"> - Sachkosten</t>
  </si>
  <si>
    <t>6. Personalkostenanteil der Studierenden</t>
  </si>
  <si>
    <t>Details der Ergebnisdarstellung verändert</t>
  </si>
  <si>
    <r>
      <t xml:space="preserve">Zusammenfassung wichtiger Ergebnisse </t>
    </r>
    <r>
      <rPr>
        <sz val="11"/>
        <rFont val="Arial"/>
        <family val="2"/>
      </rPr>
      <t>(Stand 2004)</t>
    </r>
  </si>
  <si>
    <t xml:space="preserve">(Stand: 2004)  </t>
  </si>
  <si>
    <t>Zur Berechnung</t>
  </si>
  <si>
    <t>Zur Zusammenfassung der Ergebnisse</t>
  </si>
  <si>
    <t>Bundesverwaltungsamt als Einstellungsbehörde, Prüfungsamt usw.</t>
  </si>
  <si>
    <t>Praktikumsbegleitende Lehrveranstaltungen, durch BVA abgehalten</t>
  </si>
</sst>
</file>

<file path=xl/styles.xml><?xml version="1.0" encoding="utf-8"?>
<styleSheet xmlns="http://schemas.openxmlformats.org/spreadsheetml/2006/main">
  <numFmts count="3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000000"/>
    <numFmt numFmtId="176" formatCode="0.00000"/>
    <numFmt numFmtId="177" formatCode="0.0000"/>
    <numFmt numFmtId="178" formatCode="0.000"/>
    <numFmt numFmtId="179" formatCode="#,##0.000"/>
    <numFmt numFmtId="180" formatCode="#,##0.0000"/>
    <numFmt numFmtId="181" formatCode="&quot;Ja&quot;;&quot;Ja&quot;;&quot;Nein&quot;"/>
    <numFmt numFmtId="182" formatCode="&quot;Wahr&quot;;&quot;Wahr&quot;;&quot;Falsch&quot;"/>
    <numFmt numFmtId="183" formatCode="&quot;Ein&quot;;&quot;Ein&quot;;&quot;Aus&quot;"/>
    <numFmt numFmtId="184" formatCode="0.0000000"/>
    <numFmt numFmtId="185" formatCode="dd/mm/yy"/>
  </numFmts>
  <fonts count="17">
    <font>
      <sz val="10"/>
      <name val="Arial"/>
      <family val="0"/>
    </font>
    <font>
      <b/>
      <sz val="12"/>
      <name val="Arial"/>
      <family val="2"/>
    </font>
    <font>
      <sz val="12"/>
      <name val="Arial"/>
      <family val="2"/>
    </font>
    <font>
      <sz val="11"/>
      <name val="Arial"/>
      <family val="2"/>
    </font>
    <font>
      <vertAlign val="superscript"/>
      <sz val="12"/>
      <name val="Arial"/>
      <family val="2"/>
    </font>
    <font>
      <sz val="8"/>
      <name val="Arial"/>
      <family val="2"/>
    </font>
    <font>
      <sz val="6"/>
      <name val="Arial"/>
      <family val="2"/>
    </font>
    <font>
      <u val="single"/>
      <sz val="10"/>
      <color indexed="36"/>
      <name val="Arial"/>
      <family val="0"/>
    </font>
    <font>
      <u val="single"/>
      <sz val="12"/>
      <color indexed="12"/>
      <name val="Arial"/>
      <family val="2"/>
    </font>
    <font>
      <u val="single"/>
      <vertAlign val="superscript"/>
      <sz val="12"/>
      <color indexed="12"/>
      <name val="Arial"/>
      <family val="2"/>
    </font>
    <font>
      <u val="single"/>
      <sz val="10"/>
      <color indexed="12"/>
      <name val="Arial"/>
      <family val="2"/>
    </font>
    <font>
      <b/>
      <sz val="11"/>
      <name val="Arial"/>
      <family val="2"/>
    </font>
    <font>
      <sz val="9"/>
      <name val="Arial"/>
      <family val="2"/>
    </font>
    <font>
      <u val="single"/>
      <sz val="12"/>
      <name val="Arial"/>
      <family val="2"/>
    </font>
    <font>
      <u val="single"/>
      <sz val="11"/>
      <color indexed="12"/>
      <name val="Arial"/>
      <family val="2"/>
    </font>
    <font>
      <b/>
      <u val="single"/>
      <sz val="11"/>
      <color indexed="12"/>
      <name val="Arial"/>
      <family val="2"/>
    </font>
    <font>
      <b/>
      <sz val="10"/>
      <name val="Arial"/>
      <family val="2"/>
    </font>
  </fonts>
  <fills count="3">
    <fill>
      <patternFill/>
    </fill>
    <fill>
      <patternFill patternType="gray125"/>
    </fill>
    <fill>
      <patternFill patternType="solid">
        <fgColor indexed="43"/>
        <bgColor indexed="64"/>
      </patternFill>
    </fill>
  </fills>
  <borders count="28">
    <border>
      <left/>
      <right/>
      <top/>
      <bottom/>
      <diagonal/>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color indexed="63"/>
      </left>
      <right>
        <color indexed="63"/>
      </right>
      <top style="medium"/>
      <bottom>
        <color indexed="63"/>
      </bottom>
    </border>
    <border>
      <left style="thick"/>
      <right>
        <color indexed="63"/>
      </right>
      <top style="medium"/>
      <bottom>
        <color indexed="63"/>
      </bottom>
    </border>
    <border>
      <left style="thick"/>
      <right>
        <color indexed="63"/>
      </right>
      <top>
        <color indexed="63"/>
      </top>
      <bottom style="medium"/>
    </border>
    <border>
      <left style="thick"/>
      <right>
        <color indexed="63"/>
      </right>
      <top>
        <color indexed="63"/>
      </top>
      <bottom>
        <color indexed="63"/>
      </bottom>
    </border>
    <border>
      <left style="thick"/>
      <right style="thin"/>
      <top style="thin"/>
      <bottom style="thin"/>
    </border>
    <border>
      <left style="thick"/>
      <right>
        <color indexed="63"/>
      </right>
      <top>
        <color indexed="63"/>
      </top>
      <bottom style="thin"/>
    </border>
    <border>
      <left style="medium"/>
      <right style="medium"/>
      <top style="medium"/>
      <bottom style="hair"/>
    </border>
    <border>
      <left style="medium"/>
      <right style="medium"/>
      <top style="hair"/>
      <bottom style="hair"/>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6">
    <xf numFmtId="0" fontId="0" fillId="0" borderId="0" xfId="0" applyAlignment="1">
      <alignment/>
    </xf>
    <xf numFmtId="9" fontId="1" fillId="2" borderId="1" xfId="19" applyFont="1" applyFill="1" applyBorder="1" applyAlignment="1" applyProtection="1">
      <alignment/>
      <protection locked="0"/>
    </xf>
    <xf numFmtId="174" fontId="2" fillId="2" borderId="2" xfId="0" applyNumberFormat="1" applyFont="1" applyFill="1" applyBorder="1" applyAlignment="1" applyProtection="1">
      <alignment horizontal="right"/>
      <protection locked="0"/>
    </xf>
    <xf numFmtId="3" fontId="2" fillId="2" borderId="2" xfId="0" applyNumberFormat="1" applyFont="1" applyFill="1" applyBorder="1" applyAlignment="1" applyProtection="1">
      <alignment/>
      <protection locked="0"/>
    </xf>
    <xf numFmtId="172" fontId="2" fillId="2" borderId="2" xfId="0" applyNumberFormat="1" applyFont="1" applyFill="1" applyBorder="1" applyAlignment="1" applyProtection="1">
      <alignment/>
      <protection locked="0"/>
    </xf>
    <xf numFmtId="9" fontId="2" fillId="2" borderId="2" xfId="0" applyNumberFormat="1" applyFont="1" applyFill="1" applyBorder="1" applyAlignment="1" applyProtection="1">
      <alignment/>
      <protection locked="0"/>
    </xf>
    <xf numFmtId="10" fontId="2" fillId="2" borderId="3" xfId="0" applyNumberFormat="1" applyFont="1" applyFill="1" applyBorder="1" applyAlignment="1" applyProtection="1">
      <alignment/>
      <protection locked="0"/>
    </xf>
    <xf numFmtId="179" fontId="2" fillId="2" borderId="2" xfId="0" applyNumberFormat="1" applyFont="1" applyFill="1" applyBorder="1" applyAlignment="1" applyProtection="1">
      <alignment/>
      <protection locked="0"/>
    </xf>
    <xf numFmtId="0" fontId="1" fillId="0" borderId="0" xfId="0" applyFont="1" applyAlignment="1" applyProtection="1">
      <alignment/>
      <protection/>
    </xf>
    <xf numFmtId="3" fontId="3" fillId="0" borderId="0" xfId="0" applyNumberFormat="1" applyFont="1" applyAlignment="1" applyProtection="1">
      <alignment/>
      <protection/>
    </xf>
    <xf numFmtId="0" fontId="0" fillId="0" borderId="0" xfId="0" applyFont="1" applyAlignment="1" applyProtection="1">
      <alignment horizontal="left"/>
      <protection/>
    </xf>
    <xf numFmtId="0" fontId="3" fillId="0" borderId="0" xfId="0" applyFont="1" applyAlignment="1" applyProtection="1">
      <alignment/>
      <protection/>
    </xf>
    <xf numFmtId="3" fontId="2" fillId="0" borderId="4" xfId="0" applyNumberFormat="1" applyFont="1" applyBorder="1" applyAlignment="1" applyProtection="1">
      <alignment/>
      <protection/>
    </xf>
    <xf numFmtId="3" fontId="2" fillId="0" borderId="0" xfId="0" applyNumberFormat="1" applyFont="1" applyAlignment="1" applyProtection="1">
      <alignment/>
      <protection/>
    </xf>
    <xf numFmtId="3" fontId="2" fillId="0" borderId="0" xfId="0" applyNumberFormat="1" applyFont="1" applyAlignment="1" applyProtection="1">
      <alignment/>
      <protection/>
    </xf>
    <xf numFmtId="0" fontId="10" fillId="0" borderId="0" xfId="18" applyFont="1" applyAlignment="1" applyProtection="1">
      <alignment/>
      <protection/>
    </xf>
    <xf numFmtId="3" fontId="0" fillId="0" borderId="0" xfId="0" applyNumberFormat="1" applyFont="1" applyAlignment="1" applyProtection="1">
      <alignment/>
      <protection/>
    </xf>
    <xf numFmtId="0" fontId="0" fillId="0" borderId="0" xfId="0" applyFont="1" applyAlignment="1" applyProtection="1">
      <alignment/>
      <protection/>
    </xf>
    <xf numFmtId="9" fontId="2" fillId="0" borderId="5" xfId="19" applyFont="1" applyBorder="1" applyAlignment="1" applyProtection="1">
      <alignment/>
      <protection/>
    </xf>
    <xf numFmtId="0" fontId="2" fillId="0" borderId="0" xfId="0" applyFont="1" applyAlignment="1" applyProtection="1">
      <alignment/>
      <protection/>
    </xf>
    <xf numFmtId="4" fontId="1" fillId="0" borderId="0" xfId="0" applyNumberFormat="1" applyFont="1" applyAlignment="1" applyProtection="1">
      <alignment/>
      <protection/>
    </xf>
    <xf numFmtId="3" fontId="1" fillId="0" borderId="0" xfId="0" applyNumberFormat="1" applyFont="1" applyAlignment="1" applyProtection="1">
      <alignment/>
      <protection/>
    </xf>
    <xf numFmtId="0" fontId="0" fillId="0" borderId="4" xfId="0" applyFont="1" applyBorder="1" applyAlignment="1" applyProtection="1">
      <alignment/>
      <protection/>
    </xf>
    <xf numFmtId="0" fontId="1" fillId="0" borderId="6" xfId="0" applyFont="1" applyBorder="1" applyAlignment="1" applyProtection="1">
      <alignment/>
      <protection/>
    </xf>
    <xf numFmtId="3" fontId="2" fillId="0" borderId="0" xfId="0" applyNumberFormat="1" applyFont="1" applyBorder="1" applyAlignment="1" applyProtection="1">
      <alignment/>
      <protection/>
    </xf>
    <xf numFmtId="3" fontId="2" fillId="0" borderId="6" xfId="0" applyNumberFormat="1" applyFont="1" applyBorder="1" applyAlignment="1" applyProtection="1">
      <alignment/>
      <protection/>
    </xf>
    <xf numFmtId="0" fontId="2" fillId="0" borderId="6" xfId="0" applyFont="1" applyBorder="1" applyAlignment="1" applyProtection="1">
      <alignment/>
      <protection/>
    </xf>
    <xf numFmtId="3" fontId="2" fillId="0" borderId="0" xfId="0" applyNumberFormat="1" applyFont="1" applyAlignment="1" applyProtection="1">
      <alignment horizontal="center"/>
      <protection/>
    </xf>
    <xf numFmtId="0" fontId="2" fillId="0" borderId="0" xfId="0" applyFont="1" applyBorder="1" applyAlignment="1" applyProtection="1">
      <alignment/>
      <protection/>
    </xf>
    <xf numFmtId="0" fontId="3" fillId="0" borderId="7" xfId="0" applyFont="1" applyBorder="1" applyAlignment="1" applyProtection="1">
      <alignment horizontal="center"/>
      <protection/>
    </xf>
    <xf numFmtId="174" fontId="2" fillId="0" borderId="0" xfId="19" applyNumberFormat="1" applyFont="1" applyAlignment="1" applyProtection="1">
      <alignment/>
      <protection/>
    </xf>
    <xf numFmtId="9" fontId="2" fillId="0" borderId="0" xfId="19" applyFont="1" applyAlignment="1" applyProtection="1">
      <alignment/>
      <protection/>
    </xf>
    <xf numFmtId="9" fontId="2" fillId="0" borderId="0" xfId="19" applyNumberFormat="1" applyFont="1" applyAlignment="1" applyProtection="1">
      <alignment/>
      <protection/>
    </xf>
    <xf numFmtId="0" fontId="3" fillId="0" borderId="0" xfId="0" applyFont="1" applyAlignment="1" applyProtection="1">
      <alignment horizontal="center"/>
      <protection/>
    </xf>
    <xf numFmtId="3" fontId="12" fillId="0" borderId="0" xfId="0" applyNumberFormat="1" applyFont="1" applyBorder="1" applyAlignment="1" applyProtection="1">
      <alignment horizontal="center"/>
      <protection/>
    </xf>
    <xf numFmtId="173" fontId="2" fillId="0" borderId="0" xfId="0" applyNumberFormat="1" applyFont="1" applyAlignment="1" applyProtection="1">
      <alignment/>
      <protection/>
    </xf>
    <xf numFmtId="3" fontId="1" fillId="0" borderId="6" xfId="0" applyNumberFormat="1" applyFont="1" applyBorder="1" applyAlignment="1" applyProtection="1">
      <alignment/>
      <protection/>
    </xf>
    <xf numFmtId="0" fontId="2" fillId="0" borderId="0" xfId="0" applyFont="1" applyAlignment="1" applyProtection="1">
      <alignment horizontal="right"/>
      <protection/>
    </xf>
    <xf numFmtId="174" fontId="2" fillId="0" borderId="0" xfId="19" applyNumberFormat="1" applyFont="1" applyBorder="1" applyAlignment="1" applyProtection="1">
      <alignment/>
      <protection/>
    </xf>
    <xf numFmtId="3" fontId="11" fillId="0" borderId="0" xfId="0" applyNumberFormat="1" applyFont="1" applyAlignment="1" applyProtection="1">
      <alignment/>
      <protection/>
    </xf>
    <xf numFmtId="3" fontId="3" fillId="0" borderId="6" xfId="0" applyNumberFormat="1" applyFont="1" applyBorder="1" applyAlignment="1" applyProtection="1">
      <alignment/>
      <protection/>
    </xf>
    <xf numFmtId="0" fontId="3" fillId="0" borderId="7" xfId="0" applyFont="1" applyBorder="1" applyAlignment="1" applyProtection="1">
      <alignment horizontal="right"/>
      <protection/>
    </xf>
    <xf numFmtId="3" fontId="3" fillId="0" borderId="6" xfId="0" applyNumberFormat="1" applyFont="1" applyBorder="1" applyAlignment="1" applyProtection="1">
      <alignment horizontal="right"/>
      <protection/>
    </xf>
    <xf numFmtId="174" fontId="3" fillId="0" borderId="0" xfId="19" applyNumberFormat="1" applyFont="1" applyAlignment="1" applyProtection="1">
      <alignment/>
      <protection/>
    </xf>
    <xf numFmtId="0" fontId="8" fillId="0" borderId="0" xfId="18" applyFont="1" applyAlignment="1" applyProtection="1">
      <alignment/>
      <protection/>
    </xf>
    <xf numFmtId="3" fontId="1" fillId="0" borderId="0" xfId="0" applyNumberFormat="1" applyFont="1" applyBorder="1" applyAlignment="1" applyProtection="1">
      <alignment/>
      <protection/>
    </xf>
    <xf numFmtId="0" fontId="1" fillId="0" borderId="8" xfId="0" applyFont="1" applyBorder="1" applyAlignment="1" applyProtection="1">
      <alignment horizontal="right"/>
      <protection/>
    </xf>
    <xf numFmtId="0" fontId="2" fillId="0" borderId="0" xfId="0" applyFont="1" applyBorder="1" applyAlignment="1" applyProtection="1">
      <alignment/>
      <protection/>
    </xf>
    <xf numFmtId="9" fontId="1" fillId="0" borderId="0" xfId="19" applyFont="1" applyBorder="1" applyAlignment="1" applyProtection="1">
      <alignment horizontal="center"/>
      <protection/>
    </xf>
    <xf numFmtId="9" fontId="1" fillId="0" borderId="0" xfId="19" applyFont="1" applyBorder="1" applyAlignment="1" applyProtection="1">
      <alignment/>
      <protection/>
    </xf>
    <xf numFmtId="0" fontId="2" fillId="0" borderId="9" xfId="0" applyFont="1" applyBorder="1" applyAlignment="1" applyProtection="1">
      <alignment/>
      <protection/>
    </xf>
    <xf numFmtId="0" fontId="2" fillId="0" borderId="10" xfId="0" applyFont="1" applyBorder="1" applyAlignment="1" applyProtection="1">
      <alignment/>
      <protection/>
    </xf>
    <xf numFmtId="3" fontId="2" fillId="0" borderId="10" xfId="0" applyNumberFormat="1" applyFont="1" applyBorder="1" applyAlignment="1" applyProtection="1">
      <alignment/>
      <protection/>
    </xf>
    <xf numFmtId="9" fontId="1" fillId="0" borderId="10" xfId="19" applyFont="1" applyBorder="1" applyAlignment="1" applyProtection="1">
      <alignment horizontal="center"/>
      <protection/>
    </xf>
    <xf numFmtId="3" fontId="1" fillId="0" borderId="10" xfId="0" applyNumberFormat="1" applyFont="1" applyBorder="1" applyAlignment="1" applyProtection="1">
      <alignment/>
      <protection/>
    </xf>
    <xf numFmtId="3" fontId="2" fillId="0" borderId="0" xfId="0" applyNumberFormat="1" applyFont="1" applyAlignment="1" applyProtection="1">
      <alignment horizontal="left" indent="1"/>
      <protection/>
    </xf>
    <xf numFmtId="1" fontId="2" fillId="0" borderId="0" xfId="0" applyNumberFormat="1" applyFont="1" applyAlignment="1" applyProtection="1">
      <alignment/>
      <protection/>
    </xf>
    <xf numFmtId="3" fontId="1" fillId="0" borderId="0" xfId="0" applyNumberFormat="1" applyFont="1" applyAlignment="1" applyProtection="1">
      <alignment/>
      <protection/>
    </xf>
    <xf numFmtId="0" fontId="2" fillId="0" borderId="6" xfId="0" applyFont="1" applyBorder="1" applyAlignment="1" applyProtection="1">
      <alignment horizontal="right"/>
      <protection/>
    </xf>
    <xf numFmtId="172" fontId="2" fillId="0" borderId="0" xfId="0" applyNumberFormat="1" applyFont="1" applyAlignment="1" applyProtection="1">
      <alignment/>
      <protection/>
    </xf>
    <xf numFmtId="9" fontId="1" fillId="0" borderId="0" xfId="19" applyNumberFormat="1" applyFont="1" applyBorder="1" applyAlignment="1" applyProtection="1">
      <alignment/>
      <protection/>
    </xf>
    <xf numFmtId="0" fontId="2" fillId="0" borderId="8" xfId="0" applyFont="1" applyBorder="1" applyAlignment="1" applyProtection="1">
      <alignment/>
      <protection/>
    </xf>
    <xf numFmtId="3" fontId="8" fillId="0" borderId="0" xfId="18" applyNumberForma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protection/>
    </xf>
    <xf numFmtId="3" fontId="1" fillId="0" borderId="11" xfId="0" applyNumberFormat="1" applyFont="1" applyBorder="1" applyAlignment="1" applyProtection="1">
      <alignment/>
      <protection/>
    </xf>
    <xf numFmtId="3" fontId="2" fillId="0" borderId="6" xfId="0" applyNumberFormat="1" applyFont="1" applyBorder="1" applyAlignment="1" applyProtection="1">
      <alignment horizontal="right"/>
      <protection/>
    </xf>
    <xf numFmtId="3" fontId="2" fillId="0" borderId="12" xfId="0" applyNumberFormat="1" applyFont="1" applyBorder="1" applyAlignment="1" applyProtection="1">
      <alignment/>
      <protection/>
    </xf>
    <xf numFmtId="3" fontId="2" fillId="0" borderId="0" xfId="0" applyNumberFormat="1" applyFont="1" applyBorder="1" applyAlignment="1" applyProtection="1">
      <alignment/>
      <protection/>
    </xf>
    <xf numFmtId="9" fontId="2" fillId="0" borderId="0" xfId="0" applyNumberFormat="1" applyFont="1" applyAlignment="1" applyProtection="1">
      <alignment/>
      <protection/>
    </xf>
    <xf numFmtId="3" fontId="2" fillId="0" borderId="12" xfId="0" applyNumberFormat="1" applyFont="1" applyBorder="1" applyAlignment="1" applyProtection="1">
      <alignment/>
      <protection/>
    </xf>
    <xf numFmtId="3" fontId="1" fillId="0" borderId="0" xfId="0" applyNumberFormat="1" applyFont="1" applyBorder="1" applyAlignment="1" applyProtection="1">
      <alignment/>
      <protection/>
    </xf>
    <xf numFmtId="3" fontId="1" fillId="0" borderId="6" xfId="0" applyNumberFormat="1" applyFont="1" applyBorder="1" applyAlignment="1" applyProtection="1">
      <alignment/>
      <protection/>
    </xf>
    <xf numFmtId="1" fontId="1" fillId="0" borderId="0" xfId="0" applyNumberFormat="1" applyFont="1" applyAlignment="1" applyProtection="1">
      <alignment/>
      <protection/>
    </xf>
    <xf numFmtId="3" fontId="2" fillId="0" borderId="6" xfId="0" applyNumberFormat="1" applyFont="1" applyBorder="1" applyAlignment="1" applyProtection="1">
      <alignment/>
      <protection/>
    </xf>
    <xf numFmtId="0" fontId="1" fillId="0" borderId="0" xfId="0" applyFont="1" applyAlignment="1" applyProtection="1">
      <alignment horizontal="right"/>
      <protection/>
    </xf>
    <xf numFmtId="0" fontId="1" fillId="0" borderId="0" xfId="0" applyFont="1" applyAlignment="1" applyProtection="1">
      <alignment/>
      <protection/>
    </xf>
    <xf numFmtId="3" fontId="1" fillId="0" borderId="13" xfId="0" applyNumberFormat="1" applyFont="1" applyBorder="1" applyAlignment="1" applyProtection="1">
      <alignment/>
      <protection/>
    </xf>
    <xf numFmtId="0" fontId="2" fillId="0" borderId="14" xfId="0" applyFont="1" applyBorder="1" applyAlignment="1" applyProtection="1">
      <alignment/>
      <protection/>
    </xf>
    <xf numFmtId="179" fontId="2" fillId="0" borderId="15" xfId="0" applyNumberFormat="1" applyFont="1" applyBorder="1" applyAlignment="1" applyProtection="1">
      <alignment horizontal="center"/>
      <protection/>
    </xf>
    <xf numFmtId="3" fontId="2" fillId="0" borderId="14" xfId="0" applyNumberFormat="1" applyFont="1" applyBorder="1" applyAlignment="1" applyProtection="1">
      <alignment/>
      <protection/>
    </xf>
    <xf numFmtId="3" fontId="2" fillId="0" borderId="16" xfId="0" applyNumberFormat="1" applyFont="1" applyBorder="1" applyAlignment="1" applyProtection="1">
      <alignment/>
      <protection/>
    </xf>
    <xf numFmtId="3" fontId="2" fillId="0" borderId="16" xfId="0" applyNumberFormat="1" applyFont="1" applyBorder="1" applyAlignment="1" applyProtection="1">
      <alignment horizontal="center"/>
      <protection/>
    </xf>
    <xf numFmtId="174" fontId="2" fillId="0" borderId="16" xfId="19" applyNumberFormat="1" applyFont="1" applyBorder="1" applyAlignment="1" applyProtection="1">
      <alignment/>
      <protection/>
    </xf>
    <xf numFmtId="3" fontId="2" fillId="0" borderId="16" xfId="0" applyNumberFormat="1" applyFont="1" applyBorder="1" applyAlignment="1" applyProtection="1">
      <alignment/>
      <protection/>
    </xf>
    <xf numFmtId="3" fontId="12" fillId="0" borderId="16" xfId="0" applyNumberFormat="1" applyFont="1" applyBorder="1" applyAlignment="1" applyProtection="1">
      <alignment horizontal="center"/>
      <protection/>
    </xf>
    <xf numFmtId="0" fontId="2" fillId="0" borderId="16" xfId="0" applyFont="1" applyBorder="1" applyAlignment="1" applyProtection="1">
      <alignment/>
      <protection/>
    </xf>
    <xf numFmtId="3" fontId="2" fillId="0" borderId="17" xfId="0" applyNumberFormat="1" applyFont="1" applyBorder="1" applyAlignment="1" applyProtection="1">
      <alignment horizontal="center"/>
      <protection/>
    </xf>
    <xf numFmtId="3" fontId="11" fillId="0" borderId="16" xfId="0" applyNumberFormat="1" applyFont="1" applyBorder="1" applyAlignment="1" applyProtection="1">
      <alignment horizontal="center"/>
      <protection/>
    </xf>
    <xf numFmtId="3" fontId="1" fillId="0" borderId="16" xfId="0" applyNumberFormat="1" applyFont="1" applyBorder="1" applyAlignment="1" applyProtection="1">
      <alignment/>
      <protection/>
    </xf>
    <xf numFmtId="0" fontId="2" fillId="0" borderId="18" xfId="0" applyFont="1" applyBorder="1" applyAlignment="1" applyProtection="1">
      <alignment/>
      <protection/>
    </xf>
    <xf numFmtId="174" fontId="2" fillId="0" borderId="16" xfId="19" applyNumberFormat="1" applyFont="1" applyBorder="1" applyAlignment="1" applyProtection="1">
      <alignment horizontal="center"/>
      <protection/>
    </xf>
    <xf numFmtId="3" fontId="2" fillId="0" borderId="18" xfId="0" applyNumberFormat="1" applyFont="1" applyBorder="1" applyAlignment="1" applyProtection="1">
      <alignment horizontal="center"/>
      <protection/>
    </xf>
    <xf numFmtId="3" fontId="2" fillId="0" borderId="17" xfId="0" applyNumberFormat="1" applyFont="1" applyBorder="1" applyAlignment="1" applyProtection="1">
      <alignment/>
      <protection/>
    </xf>
    <xf numFmtId="0" fontId="1" fillId="2" borderId="19" xfId="0" applyNumberFormat="1" applyFont="1" applyFill="1" applyBorder="1" applyAlignment="1" applyProtection="1">
      <alignment/>
      <protection locked="0"/>
    </xf>
    <xf numFmtId="0" fontId="1" fillId="2" borderId="20" xfId="0" applyNumberFormat="1" applyFont="1" applyFill="1" applyBorder="1" applyAlignment="1" applyProtection="1">
      <alignment/>
      <protection locked="0"/>
    </xf>
    <xf numFmtId="9" fontId="1" fillId="2" borderId="20" xfId="19" applyFont="1" applyFill="1" applyBorder="1" applyAlignment="1" applyProtection="1">
      <alignment/>
      <protection locked="0"/>
    </xf>
    <xf numFmtId="0" fontId="1" fillId="2" borderId="20" xfId="0" applyFont="1" applyFill="1" applyBorder="1" applyAlignment="1" applyProtection="1">
      <alignment/>
      <protection locked="0"/>
    </xf>
    <xf numFmtId="3" fontId="3" fillId="0" borderId="16" xfId="0" applyNumberFormat="1" applyFont="1" applyBorder="1" applyAlignment="1" applyProtection="1">
      <alignment/>
      <protection/>
    </xf>
    <xf numFmtId="0" fontId="1" fillId="0" borderId="0" xfId="0" applyFont="1" applyAlignment="1">
      <alignment/>
    </xf>
    <xf numFmtId="0" fontId="2" fillId="0" borderId="0" xfId="0" applyFont="1" applyAlignment="1">
      <alignment/>
    </xf>
    <xf numFmtId="49" fontId="1" fillId="0" borderId="0" xfId="0" applyNumberFormat="1" applyFont="1" applyAlignment="1">
      <alignment vertical="top" wrapText="1"/>
    </xf>
    <xf numFmtId="49" fontId="2" fillId="0" borderId="0" xfId="0" applyNumberFormat="1" applyFont="1" applyAlignment="1">
      <alignment vertical="top" wrapText="1"/>
    </xf>
    <xf numFmtId="14" fontId="1" fillId="0" borderId="0" xfId="0" applyNumberFormat="1" applyFont="1" applyAlignment="1">
      <alignment horizontal="left" vertical="top"/>
    </xf>
    <xf numFmtId="14" fontId="2" fillId="0" borderId="0" xfId="0" applyNumberFormat="1" applyFont="1" applyAlignment="1">
      <alignment horizontal="left" vertical="top"/>
    </xf>
    <xf numFmtId="1" fontId="2" fillId="0" borderId="0" xfId="0" applyNumberFormat="1" applyFont="1" applyAlignment="1">
      <alignment vertical="top"/>
    </xf>
    <xf numFmtId="0" fontId="1" fillId="0" borderId="0" xfId="0" applyNumberFormat="1" applyFont="1" applyAlignment="1">
      <alignment vertical="top"/>
    </xf>
    <xf numFmtId="1" fontId="2" fillId="0" borderId="0" xfId="0" applyNumberFormat="1" applyFont="1" applyAlignment="1">
      <alignment horizontal="right" vertical="top"/>
    </xf>
    <xf numFmtId="14" fontId="2" fillId="0" borderId="0" xfId="0" applyNumberFormat="1" applyFont="1" applyAlignment="1">
      <alignment horizontal="right" vertical="top"/>
    </xf>
    <xf numFmtId="0" fontId="2" fillId="0" borderId="0" xfId="0" applyFont="1" applyAlignment="1" applyProtection="1">
      <alignment wrapText="1"/>
      <protection/>
    </xf>
    <xf numFmtId="14" fontId="11" fillId="0" borderId="0" xfId="0" applyNumberFormat="1" applyFont="1" applyAlignment="1">
      <alignment horizontal="left" vertical="top"/>
    </xf>
    <xf numFmtId="49" fontId="14" fillId="0" borderId="0" xfId="18" applyNumberFormat="1" applyFont="1" applyAlignment="1">
      <alignment vertical="top" wrapText="1"/>
    </xf>
    <xf numFmtId="0" fontId="8" fillId="0" borderId="0" xfId="18" applyAlignment="1">
      <alignment/>
    </xf>
    <xf numFmtId="3" fontId="2" fillId="0" borderId="0" xfId="0" applyNumberFormat="1" applyFont="1" applyBorder="1" applyAlignment="1" applyProtection="1">
      <alignment horizontal="right"/>
      <protection/>
    </xf>
    <xf numFmtId="3" fontId="0" fillId="0" borderId="8" xfId="0" applyNumberFormat="1" applyFont="1" applyBorder="1" applyAlignment="1" applyProtection="1">
      <alignment/>
      <protection/>
    </xf>
    <xf numFmtId="0" fontId="1" fillId="0" borderId="21" xfId="0" applyFont="1" applyBorder="1" applyAlignment="1" applyProtection="1">
      <alignment/>
      <protection/>
    </xf>
    <xf numFmtId="3" fontId="2" fillId="0" borderId="8" xfId="0" applyNumberFormat="1" applyFont="1" applyBorder="1" applyAlignment="1" applyProtection="1">
      <alignment/>
      <protection/>
    </xf>
    <xf numFmtId="3" fontId="2" fillId="0" borderId="8" xfId="0" applyNumberFormat="1" applyFont="1" applyBorder="1" applyAlignment="1" applyProtection="1">
      <alignment/>
      <protection/>
    </xf>
    <xf numFmtId="0" fontId="11" fillId="0" borderId="6" xfId="0" applyFont="1" applyBorder="1" applyAlignment="1" applyProtection="1">
      <alignment/>
      <protection/>
    </xf>
    <xf numFmtId="3" fontId="2" fillId="0" borderId="7" xfId="0" applyNumberFormat="1" applyFont="1" applyBorder="1" applyAlignment="1" applyProtection="1">
      <alignment horizontal="right"/>
      <protection/>
    </xf>
    <xf numFmtId="0" fontId="1" fillId="0" borderId="22" xfId="0" applyFont="1" applyBorder="1" applyAlignment="1" applyProtection="1">
      <alignment horizontal="left"/>
      <protection/>
    </xf>
    <xf numFmtId="0" fontId="1" fillId="0" borderId="11" xfId="0" applyFont="1" applyBorder="1" applyAlignment="1" applyProtection="1">
      <alignment horizontal="left"/>
      <protection/>
    </xf>
    <xf numFmtId="0" fontId="1" fillId="0" borderId="23" xfId="0" applyFont="1" applyBorder="1" applyAlignment="1" applyProtection="1">
      <alignment horizontal="left"/>
      <protection/>
    </xf>
    <xf numFmtId="0" fontId="1" fillId="0" borderId="22"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24" xfId="0" applyFont="1" applyBorder="1" applyAlignment="1" applyProtection="1">
      <alignment/>
      <protection/>
    </xf>
    <xf numFmtId="0" fontId="1" fillId="0" borderId="13" xfId="0" applyFont="1" applyBorder="1" applyAlignment="1" applyProtection="1">
      <alignment/>
      <protection/>
    </xf>
    <xf numFmtId="0" fontId="1" fillId="0" borderId="22" xfId="0" applyFont="1" applyBorder="1" applyAlignment="1" applyProtection="1">
      <alignment/>
      <protection/>
    </xf>
    <xf numFmtId="0" fontId="1" fillId="0" borderId="11" xfId="0" applyFont="1" applyBorder="1" applyAlignment="1" applyProtection="1">
      <alignment/>
      <protection/>
    </xf>
    <xf numFmtId="0" fontId="0" fillId="0" borderId="25" xfId="0" applyFont="1" applyBorder="1" applyAlignment="1" applyProtection="1">
      <alignment/>
      <protection/>
    </xf>
    <xf numFmtId="3" fontId="2" fillId="0" borderId="0" xfId="0" applyNumberFormat="1" applyFont="1" applyAlignment="1" applyProtection="1">
      <alignment horizontal="right"/>
      <protection/>
    </xf>
    <xf numFmtId="179" fontId="2" fillId="0" borderId="16" xfId="0" applyNumberFormat="1" applyFont="1" applyBorder="1" applyAlignment="1" applyProtection="1">
      <alignment horizontal="center"/>
      <protection/>
    </xf>
    <xf numFmtId="9" fontId="2" fillId="0" borderId="25" xfId="19" applyFont="1" applyBorder="1" applyAlignment="1" applyProtection="1">
      <alignment/>
      <protection/>
    </xf>
    <xf numFmtId="0" fontId="3" fillId="0" borderId="0" xfId="0" applyFont="1" applyBorder="1" applyAlignment="1" applyProtection="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9" fontId="2" fillId="0" borderId="0" xfId="19" applyFont="1" applyBorder="1" applyAlignment="1" applyProtection="1">
      <alignment/>
      <protection/>
    </xf>
    <xf numFmtId="3" fontId="2" fillId="0" borderId="0" xfId="0" applyNumberFormat="1" applyFont="1" applyBorder="1" applyAlignment="1" applyProtection="1">
      <alignment horizontal="center"/>
      <protection/>
    </xf>
    <xf numFmtId="0" fontId="2" fillId="0" borderId="0" xfId="0" applyFont="1" applyBorder="1" applyAlignment="1" applyProtection="1">
      <alignment horizontal="right"/>
      <protection/>
    </xf>
    <xf numFmtId="174" fontId="2" fillId="0" borderId="0" xfId="19" applyNumberFormat="1" applyFont="1" applyBorder="1" applyAlignment="1" applyProtection="1">
      <alignment horizontal="center"/>
      <protection/>
    </xf>
    <xf numFmtId="0" fontId="1" fillId="0" borderId="0" xfId="0" applyFont="1" applyBorder="1" applyAlignment="1" applyProtection="1">
      <alignment/>
      <protection/>
    </xf>
    <xf numFmtId="3" fontId="2" fillId="0" borderId="0" xfId="0" applyNumberFormat="1" applyFont="1" applyBorder="1" applyAlignment="1" applyProtection="1">
      <alignment horizontal="left" indent="1"/>
      <protection/>
    </xf>
    <xf numFmtId="0" fontId="1" fillId="0" borderId="0" xfId="0" applyFont="1" applyBorder="1" applyAlignment="1" applyProtection="1">
      <alignment/>
      <protection/>
    </xf>
    <xf numFmtId="3" fontId="1" fillId="0" borderId="12" xfId="0" applyNumberFormat="1" applyFont="1" applyBorder="1" applyAlignment="1" applyProtection="1">
      <alignment/>
      <protection/>
    </xf>
    <xf numFmtId="0" fontId="16" fillId="0" borderId="0" xfId="0" applyFont="1" applyAlignment="1" applyProtection="1">
      <alignment/>
      <protection/>
    </xf>
    <xf numFmtId="0" fontId="0" fillId="0" borderId="0" xfId="0" applyFont="1" applyAlignment="1" applyProtection="1">
      <alignment/>
      <protection/>
    </xf>
    <xf numFmtId="172" fontId="2" fillId="0" borderId="0" xfId="0" applyNumberFormat="1" applyFont="1" applyBorder="1" applyAlignment="1" applyProtection="1">
      <alignment/>
      <protection/>
    </xf>
    <xf numFmtId="0" fontId="0" fillId="0" borderId="0" xfId="0" applyFont="1" applyBorder="1" applyAlignment="1" applyProtection="1">
      <alignment horizontal="right"/>
      <protection/>
    </xf>
    <xf numFmtId="0" fontId="10" fillId="0" borderId="0" xfId="18" applyFont="1" applyBorder="1" applyAlignment="1" applyProtection="1">
      <alignment/>
      <protection/>
    </xf>
    <xf numFmtId="3" fontId="3" fillId="0" borderId="0" xfId="0" applyNumberFormat="1" applyFont="1" applyBorder="1" applyAlignment="1" applyProtection="1">
      <alignment/>
      <protection/>
    </xf>
    <xf numFmtId="9" fontId="2" fillId="0" borderId="0" xfId="19" applyFont="1" applyBorder="1" applyAlignment="1" applyProtection="1">
      <alignment/>
      <protection/>
    </xf>
    <xf numFmtId="3" fontId="1" fillId="0" borderId="0" xfId="0" applyNumberFormat="1" applyFont="1" applyAlignment="1" applyProtection="1">
      <alignment horizontal="left"/>
      <protection/>
    </xf>
    <xf numFmtId="0" fontId="1" fillId="2" borderId="0" xfId="0" applyFont="1" applyFill="1" applyAlignment="1" applyProtection="1">
      <alignment vertical="center"/>
      <protection/>
    </xf>
    <xf numFmtId="0" fontId="0" fillId="2" borderId="0" xfId="0" applyFont="1" applyFill="1" applyAlignment="1" applyProtection="1">
      <alignment vertical="center"/>
      <protection/>
    </xf>
    <xf numFmtId="3" fontId="0" fillId="2" borderId="0" xfId="0" applyNumberFormat="1" applyFont="1" applyFill="1" applyAlignment="1" applyProtection="1">
      <alignment vertical="center"/>
      <protection/>
    </xf>
    <xf numFmtId="0" fontId="16" fillId="2" borderId="0" xfId="0" applyFont="1" applyFill="1" applyAlignment="1" applyProtection="1">
      <alignment vertical="center"/>
      <protection/>
    </xf>
    <xf numFmtId="0" fontId="0" fillId="2" borderId="0" xfId="0" applyFont="1" applyFill="1" applyBorder="1" applyAlignment="1" applyProtection="1">
      <alignment vertical="center"/>
      <protection/>
    </xf>
    <xf numFmtId="0" fontId="0" fillId="0" borderId="0" xfId="0" applyFont="1" applyAlignment="1" applyProtection="1">
      <alignment vertical="center"/>
      <protection/>
    </xf>
    <xf numFmtId="9" fontId="2" fillId="0" borderId="0" xfId="19" applyFont="1" applyBorder="1" applyAlignment="1" applyProtection="1">
      <alignment vertical="center"/>
      <protection/>
    </xf>
    <xf numFmtId="3" fontId="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2" fillId="0" borderId="26" xfId="0" applyFont="1" applyBorder="1" applyAlignment="1" applyProtection="1">
      <alignment/>
      <protection/>
    </xf>
    <xf numFmtId="3" fontId="2" fillId="2" borderId="0" xfId="0" applyNumberFormat="1" applyFont="1" applyFill="1" applyBorder="1" applyAlignment="1" applyProtection="1">
      <alignment horizontal="center"/>
      <protection/>
    </xf>
    <xf numFmtId="0" fontId="2" fillId="0" borderId="0" xfId="0" applyFont="1" applyAlignment="1" applyProtection="1">
      <alignment/>
      <protection locked="0"/>
    </xf>
    <xf numFmtId="3" fontId="0" fillId="0" borderId="0" xfId="0" applyNumberFormat="1" applyFont="1" applyAlignment="1" applyProtection="1">
      <alignment/>
      <protection locked="0"/>
    </xf>
    <xf numFmtId="0" fontId="2" fillId="0" borderId="27" xfId="0" applyFont="1" applyBorder="1" applyAlignment="1" applyProtection="1">
      <alignment/>
      <protection/>
    </xf>
    <xf numFmtId="0" fontId="8" fillId="0" borderId="0" xfId="18" applyFont="1" applyAlignment="1" applyProtection="1">
      <alignment/>
      <protection/>
    </xf>
    <xf numFmtId="0" fontId="1" fillId="0" borderId="0" xfId="0" applyFont="1" applyAlignment="1" applyProtection="1">
      <alignment vertical="center"/>
      <protection/>
    </xf>
    <xf numFmtId="3" fontId="0" fillId="0" borderId="0" xfId="0" applyNumberFormat="1" applyFont="1" applyAlignment="1" applyProtection="1">
      <alignment vertical="center"/>
      <protection/>
    </xf>
    <xf numFmtId="3" fontId="8" fillId="0" borderId="0" xfId="18" applyNumberFormat="1" applyFont="1" applyAlignment="1" applyProtection="1">
      <alignment vertical="center"/>
      <protection/>
    </xf>
    <xf numFmtId="3" fontId="1"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protection/>
    </xf>
    <xf numFmtId="174" fontId="2" fillId="0" borderId="0" xfId="19" applyNumberFormat="1" applyFont="1" applyAlignment="1" applyProtection="1">
      <alignment horizontal="center"/>
      <protection/>
    </xf>
    <xf numFmtId="3" fontId="1" fillId="0" borderId="22" xfId="0" applyNumberFormat="1" applyFont="1" applyBorder="1" applyAlignment="1" applyProtection="1">
      <alignment horizontal="center"/>
      <protection/>
    </xf>
    <xf numFmtId="3" fontId="1" fillId="0" borderId="11" xfId="0" applyNumberFormat="1" applyFont="1" applyBorder="1" applyAlignment="1" applyProtection="1">
      <alignment horizontal="center"/>
      <protection/>
    </xf>
    <xf numFmtId="3" fontId="1" fillId="0" borderId="23" xfId="0" applyNumberFormat="1" applyFont="1" applyBorder="1" applyAlignment="1" applyProtection="1">
      <alignment horizont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9525</xdr:rowOff>
    </xdr:from>
    <xdr:to>
      <xdr:col>5</xdr:col>
      <xdr:colOff>819150</xdr:colOff>
      <xdr:row>61</xdr:row>
      <xdr:rowOff>95250</xdr:rowOff>
    </xdr:to>
    <xdr:sp>
      <xdr:nvSpPr>
        <xdr:cNvPr id="1" name="TextBox 1"/>
        <xdr:cNvSpPr txBox="1">
          <a:spLocks noChangeArrowheads="1"/>
        </xdr:cNvSpPr>
      </xdr:nvSpPr>
      <xdr:spPr>
        <a:xfrm>
          <a:off x="9525" y="5286375"/>
          <a:ext cx="6610350" cy="6124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Anmerkungen</a:t>
          </a:r>
          <a:r>
            <a:rPr lang="en-US" cap="none" sz="1200" b="0" i="0" u="none" baseline="0">
              <a:latin typeface="Arial"/>
              <a:ea typeface="Arial"/>
              <a:cs typeface="Arial"/>
            </a:rPr>
            <a:t>
(1) Zusammenfassung der Ergebnisse der Rechnung in der folgenden Tabelle. Die Zusammenfassung lässt sich verwenden um die Auswirkungen geänderter Ausgangsdaten zu ermitteln, z. B. Erhöhung/Verminderung der Einstellungszahlen oder der Aufsteigerquote. Weitere Parameter siehe bei den übrigen Abschnitten (jeweils durch Umrahmung und farblich gekennzeichnet).
</a:t>
          </a:r>
          <a:r>
            <a:rPr lang="en-US" cap="none" sz="600" b="0" i="0" u="none" baseline="0">
              <a:latin typeface="Arial"/>
              <a:ea typeface="Arial"/>
              <a:cs typeface="Arial"/>
            </a:rPr>
            <a:t>
</a:t>
          </a:r>
          <a:r>
            <a:rPr lang="en-US" cap="none" sz="1200" b="0" i="0" u="none" baseline="0">
              <a:latin typeface="Arial"/>
              <a:ea typeface="Arial"/>
              <a:cs typeface="Arial"/>
            </a:rPr>
            <a:t>(1a) ohne Studienabbrecher und Studierende, die bereits in der Zwischenprüfung endgültig scheitern - diese verursachen weitere, aber nicht sehr erhebliche Kosten.</a:t>
          </a:r>
          <a:r>
            <a:rPr lang="en-US" cap="none" sz="600" b="0" i="0" u="none" baseline="0">
              <a:latin typeface="Arial"/>
              <a:ea typeface="Arial"/>
              <a:cs typeface="Arial"/>
            </a:rPr>
            <a:t>
</a:t>
          </a:r>
          <a:r>
            <a:rPr lang="en-US" cap="none" sz="1200" b="0" i="0" u="none" baseline="0">
              <a:latin typeface="Arial"/>
              <a:ea typeface="Arial"/>
              <a:cs typeface="Arial"/>
            </a:rPr>
            <a:t>(2) Personalkostentabelle des BMF für 2002, s. im Internet: http://www.bundes-finanzministerium.de/Anlage15264/Personalkostensaetze-Sachkostenpauschale-und-Kalkulationszinssaetze-2002.pdf und im Online-Verwaltungslexikon www.olev.de, Stichwort "Personalkosten".</a:t>
          </a:r>
          <a:r>
            <a:rPr lang="en-US" cap="none" sz="600" b="0" i="0" u="none" baseline="0">
              <a:latin typeface="Arial"/>
              <a:ea typeface="Arial"/>
              <a:cs typeface="Arial"/>
            </a:rPr>
            <a:t>
</a:t>
          </a:r>
          <a:r>
            <a:rPr lang="en-US" cap="none" sz="1200" b="0" i="0" u="none" baseline="0">
              <a:latin typeface="Arial"/>
              <a:ea typeface="Arial"/>
              <a:cs typeface="Arial"/>
            </a:rPr>
            <a:t>(3) Das übliche Rechenverfahren (Bezüge + Nebenkosten + Versorgungs- und Gemeinkostenzuschlag) ist für Anwärter nur zum Teil verwendbar, weil sie Versorgungsansprüche nach mindestens A 9 erwerben, so dass der Versorgungszuschlag aus A 9 zu entnehmen wäre, d.h.  9.127 €/a. Vorläufige Berechnung s. unten.</a:t>
          </a:r>
          <a:r>
            <a:rPr lang="en-US" cap="none" sz="600" b="0" i="0" u="none" baseline="0">
              <a:latin typeface="Arial"/>
              <a:ea typeface="Arial"/>
              <a:cs typeface="Arial"/>
            </a:rPr>
            <a:t>
</a:t>
          </a:r>
          <a:r>
            <a:rPr lang="en-US" cap="none" sz="1200" b="0" i="0" u="none" baseline="0">
              <a:latin typeface="Arial"/>
              <a:ea typeface="Arial"/>
              <a:cs typeface="Arial"/>
            </a:rPr>
            <a:t>(4) Geschätzter Mittelwert aus den Personalkostensätzen des BMF 2002
A 13 g.D. </a:t>
          </a:r>
          <a:r>
            <a:rPr lang="en-US" cap="none" sz="800" b="0" i="0" u="none" baseline="0">
              <a:latin typeface="Arial"/>
              <a:ea typeface="Arial"/>
              <a:cs typeface="Arial"/>
            </a:rPr>
            <a:t> </a:t>
          </a:r>
          <a:r>
            <a:rPr lang="en-US" cap="none" sz="1200" b="0" i="0" u="none" baseline="0">
              <a:latin typeface="Arial"/>
              <a:ea typeface="Arial"/>
              <a:cs typeface="Arial"/>
            </a:rPr>
            <a:t>     84 205       |      A 14:         87 436        |      A 15:       100 296
C 2                 92 063       |      C 3:         110 470</a:t>
          </a:r>
          <a:r>
            <a:rPr lang="en-US" cap="none" sz="600" b="0" i="0" u="none" baseline="0">
              <a:latin typeface="Arial"/>
              <a:ea typeface="Arial"/>
              <a:cs typeface="Arial"/>
            </a:rPr>
            <a:t>
</a:t>
          </a:r>
          <a:r>
            <a:rPr lang="en-US" cap="none" sz="1200" b="0" i="0" u="none" baseline="0">
              <a:latin typeface="Arial"/>
              <a:ea typeface="Arial"/>
              <a:cs typeface="Arial"/>
            </a:rPr>
            <a:t>(5) Abzüge u.a. für Ausfall durch Krankheit (soweit nachgeholt oder ausgeglichen), Freistellung für Personalrat, Gleichstellungs- und andere Beauftragte, Ermäßigung wegen Schwerbehinderung, Verwaltungs-, Selbstverwaltungs-, Forschungs- und Entwicklungstätigkeit usw. Geschätzt.</a:t>
          </a:r>
          <a:r>
            <a:rPr lang="en-US" cap="none" sz="600" b="0" i="0" u="none" baseline="0">
              <a:latin typeface="Arial"/>
              <a:ea typeface="Arial"/>
              <a:cs typeface="Arial"/>
            </a:rPr>
            <a:t>
</a:t>
          </a:r>
          <a:r>
            <a:rPr lang="en-US" cap="none" sz="1200" b="0" i="0" u="none" baseline="0">
              <a:latin typeface="Arial"/>
              <a:ea typeface="Arial"/>
              <a:cs typeface="Arial"/>
            </a:rPr>
            <a:t>(6) Erste Daten aus der KLR der FH Bund, Brühl, gerechnet pro Studierendem, also als variable Kosten. Eine genauere Rechnung müsste zwischen fixen, sprungfixen und variablen Kosten unterscheiden, allerdings ist fraglich, ob die größere Genauigkeit für strategische Entscheidungen benötigt wird.
</a:t>
          </a:r>
          <a:r>
            <a:rPr lang="en-US" cap="none" sz="1200" b="1" i="0" u="none" baseline="0">
              <a:latin typeface="Arial"/>
              <a:ea typeface="Arial"/>
              <a:cs typeface="Arial"/>
            </a:rPr>
            <a:t>Kosten der Praktika</a:t>
          </a:r>
          <a:r>
            <a:rPr lang="en-US" cap="none" sz="1200" b="0" i="0" u="none" baseline="0">
              <a:latin typeface="Arial"/>
              <a:ea typeface="Arial"/>
              <a:cs typeface="Arial"/>
            </a:rPr>
            <a:t>: Hierzu liegen keine Daten vor, die Bewertung ist auch kaum "objektiv" möglich: objektiv messbar wäre die von den Praktikantinnen und Praktikanten geleistete Arbeit, der Zugewinn an Qualität durch die fachlichen Beiträge und durch die Weiterqualifizierung der Ausbilder ist wertmäßig kaum zu kalkulieren. 
Es wird deshalb davon ausgegangen, dass die Kosten der Praktika in den Praktikumsbehörden weitgehend durch die Vorteile kompensiert werden, in der Rechnung also vernachlässigt werden können. 
</a:t>
          </a:r>
        </a:p>
      </xdr:txBody>
    </xdr:sp>
    <xdr:clientData/>
  </xdr:twoCellAnchor>
  <xdr:twoCellAnchor>
    <xdr:from>
      <xdr:col>0</xdr:col>
      <xdr:colOff>9525</xdr:colOff>
      <xdr:row>62</xdr:row>
      <xdr:rowOff>133350</xdr:rowOff>
    </xdr:from>
    <xdr:to>
      <xdr:col>5</xdr:col>
      <xdr:colOff>819150</xdr:colOff>
      <xdr:row>78</xdr:row>
      <xdr:rowOff>104775</xdr:rowOff>
    </xdr:to>
    <xdr:sp>
      <xdr:nvSpPr>
        <xdr:cNvPr id="2" name="TextBox 6"/>
        <xdr:cNvSpPr txBox="1">
          <a:spLocks noChangeArrowheads="1"/>
        </xdr:cNvSpPr>
      </xdr:nvSpPr>
      <xdr:spPr>
        <a:xfrm>
          <a:off x="9525" y="11620500"/>
          <a:ext cx="6610350"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Weitere Anmerkungen</a:t>
          </a:r>
          <a:r>
            <a:rPr lang="en-US" cap="none" sz="1200" b="0" i="0" u="none" baseline="0">
              <a:latin typeface="Arial"/>
              <a:ea typeface="Arial"/>
              <a:cs typeface="Arial"/>
            </a:rPr>
            <a:t>
(7) Anwärtergrundbetrag ab 1. April 2003</a:t>
          </a:r>
          <a:r>
            <a:rPr lang="en-US" cap="none" sz="600" b="0" i="0" u="none" baseline="0">
              <a:latin typeface="Arial"/>
              <a:ea typeface="Arial"/>
              <a:cs typeface="Arial"/>
            </a:rPr>
            <a:t>
</a:t>
          </a:r>
          <a:r>
            <a:rPr lang="en-US" cap="none" sz="1200" b="0" i="0" u="none" baseline="0">
              <a:latin typeface="Arial"/>
              <a:ea typeface="Arial"/>
              <a:cs typeface="Arial"/>
            </a:rPr>
            <a:t>(8) Keine Daten vorhanden</a:t>
          </a:r>
          <a:r>
            <a:rPr lang="en-US" cap="none" sz="600" b="0" i="0" u="none" baseline="0">
              <a:latin typeface="Arial"/>
              <a:ea typeface="Arial"/>
              <a:cs typeface="Arial"/>
            </a:rPr>
            <a:t>
</a:t>
          </a:r>
          <a:r>
            <a:rPr lang="en-US" cap="none" sz="1200" b="0" i="0" u="none" baseline="0">
              <a:latin typeface="Arial"/>
              <a:ea typeface="Arial"/>
              <a:cs typeface="Arial"/>
            </a:rPr>
            <a:t>(9) Daten aus Personalkostentabelle 2002</a:t>
          </a:r>
          <a:r>
            <a:rPr lang="en-US" cap="none" sz="600" b="0" i="0" u="none" baseline="0">
              <a:latin typeface="Arial"/>
              <a:ea typeface="Arial"/>
              <a:cs typeface="Arial"/>
            </a:rPr>
            <a:t>
</a:t>
          </a:r>
          <a:r>
            <a:rPr lang="en-US" cap="none" sz="1200" b="0" i="0" u="none" baseline="0">
              <a:latin typeface="Arial"/>
              <a:ea typeface="Arial"/>
              <a:cs typeface="Arial"/>
            </a:rPr>
            <a:t>(10) Daten aus Personalkostentabelle 2002. Begründung für die Berechnung anhand der Besoldungsgruppe A 9: Anwärter erwerben Versorgungsansprüche nach mindestens A 9, so dass der Versorgungszuschlag aus A 9 zu entnehmen ist, d.h.  9.127 €/a.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133350</xdr:rowOff>
    </xdr:from>
    <xdr:to>
      <xdr:col>5</xdr:col>
      <xdr:colOff>819150</xdr:colOff>
      <xdr:row>99</xdr:row>
      <xdr:rowOff>114300</xdr:rowOff>
    </xdr:to>
    <xdr:sp>
      <xdr:nvSpPr>
        <xdr:cNvPr id="1" name="TextBox 1"/>
        <xdr:cNvSpPr txBox="1">
          <a:spLocks noChangeArrowheads="1"/>
        </xdr:cNvSpPr>
      </xdr:nvSpPr>
      <xdr:spPr>
        <a:xfrm>
          <a:off x="9525" y="13049250"/>
          <a:ext cx="5924550" cy="628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Anmerkungen</a:t>
          </a:r>
          <a:r>
            <a:rPr lang="en-US" cap="none" sz="1200" b="0" i="0" u="none" baseline="0">
              <a:latin typeface="Arial"/>
              <a:ea typeface="Arial"/>
              <a:cs typeface="Arial"/>
            </a:rPr>
            <a:t>
(1) Zusammenfassung der Ergebnisse der nachfolgenden Rechnung. Die Zusammenfassung lässt sich verwenden um die Auswirkungen geänderter Ausgangsdaten zu ermitteln, z.B. Erhöhung/Verminderung der Einstellungszahlen oder der Aufsteigerquote. Weitere Parameter siehe bei den übrigen Abschnitten (jeweils durch Umrahmung und farblich gekennzeichnet).
</a:t>
          </a:r>
          <a:r>
            <a:rPr lang="en-US" cap="none" sz="600" b="0" i="0" u="none" baseline="0">
              <a:latin typeface="Arial"/>
              <a:ea typeface="Arial"/>
              <a:cs typeface="Arial"/>
            </a:rPr>
            <a:t>
</a:t>
          </a:r>
          <a:r>
            <a:rPr lang="en-US" cap="none" sz="1200" b="0" i="0" u="none" baseline="0">
              <a:latin typeface="Arial"/>
              <a:ea typeface="Arial"/>
              <a:cs typeface="Arial"/>
            </a:rPr>
            <a:t>(1a) ohne Studienabbrecher und Studierende, die bereits in der Zwischenprüfung endgültig scheitern - diese verursachen weitere, aber nicht sehr erhebliche Kosten.</a:t>
          </a:r>
          <a:r>
            <a:rPr lang="en-US" cap="none" sz="600" b="0" i="0" u="none" baseline="0">
              <a:latin typeface="Arial"/>
              <a:ea typeface="Arial"/>
              <a:cs typeface="Arial"/>
            </a:rPr>
            <a:t>
</a:t>
          </a:r>
          <a:r>
            <a:rPr lang="en-US" cap="none" sz="1200" b="0" i="0" u="none" baseline="0">
              <a:latin typeface="Arial"/>
              <a:ea typeface="Arial"/>
              <a:cs typeface="Arial"/>
            </a:rPr>
            <a:t>(2) Personalkostentabelle des BMF für 2002, s. im Internet: http://www.bundes-finanzministerium.de/Anlage15264/Personalkostensaetze-Sachkostenpauschale-und-Kalkulationszinssaetze-2002.pdf und im Online-Verwaltungslexikon www.olev.de, Stichwort "Personalkosten".</a:t>
          </a:r>
          <a:r>
            <a:rPr lang="en-US" cap="none" sz="600" b="0" i="0" u="none" baseline="0">
              <a:latin typeface="Arial"/>
              <a:ea typeface="Arial"/>
              <a:cs typeface="Arial"/>
            </a:rPr>
            <a:t>
</a:t>
          </a:r>
          <a:r>
            <a:rPr lang="en-US" cap="none" sz="1200" b="0" i="0" u="none" baseline="0">
              <a:latin typeface="Arial"/>
              <a:ea typeface="Arial"/>
              <a:cs typeface="Arial"/>
            </a:rPr>
            <a:t>(3) Das übliche Rechenverfahren (Bezüge + Nebenkosten + Versorgungs- und Gemeinkostenzuschlag) ist für Anwärter nur zum Teil verwendbar, weil sie Versorgungsansprüche nach mindestens A 9 erwerben, so dass der Versorgungszuschlag aus A 9 zu entnehmen wäre, d.h.  9.127 €/a. Vorläufige Berechnung s. unten.</a:t>
          </a:r>
          <a:r>
            <a:rPr lang="en-US" cap="none" sz="600" b="0" i="0" u="none" baseline="0">
              <a:latin typeface="Arial"/>
              <a:ea typeface="Arial"/>
              <a:cs typeface="Arial"/>
            </a:rPr>
            <a:t>
</a:t>
          </a:r>
          <a:r>
            <a:rPr lang="en-US" cap="none" sz="1200" b="0" i="0" u="none" baseline="0">
              <a:latin typeface="Arial"/>
              <a:ea typeface="Arial"/>
              <a:cs typeface="Arial"/>
            </a:rPr>
            <a:t>(4) Geschätzter Mittelwert aus den Personalkostensätzen des BMF 2002
A 13 g.D. </a:t>
          </a:r>
          <a:r>
            <a:rPr lang="en-US" cap="none" sz="800" b="0" i="0" u="none" baseline="0">
              <a:latin typeface="Arial"/>
              <a:ea typeface="Arial"/>
              <a:cs typeface="Arial"/>
            </a:rPr>
            <a:t> </a:t>
          </a:r>
          <a:r>
            <a:rPr lang="en-US" cap="none" sz="1200" b="0" i="0" u="none" baseline="0">
              <a:latin typeface="Arial"/>
              <a:ea typeface="Arial"/>
              <a:cs typeface="Arial"/>
            </a:rPr>
            <a:t>     84 205       |      A 14:         87 436        |      A 15:       100 296
C 2                 92 063       |      C 3:         110 470</a:t>
          </a:r>
          <a:r>
            <a:rPr lang="en-US" cap="none" sz="600" b="0" i="0" u="none" baseline="0">
              <a:latin typeface="Arial"/>
              <a:ea typeface="Arial"/>
              <a:cs typeface="Arial"/>
            </a:rPr>
            <a:t>
</a:t>
          </a:r>
          <a:r>
            <a:rPr lang="en-US" cap="none" sz="1200" b="0" i="0" u="none" baseline="0">
              <a:latin typeface="Arial"/>
              <a:ea typeface="Arial"/>
              <a:cs typeface="Arial"/>
            </a:rPr>
            <a:t>(5) Abzüge u.a. für Ausfall durch Krankheit (soweit nachgeholt oder ausgeglichen), Freistellung für Personalrat, Gleichstellungs- und andere Beauftragte, Ermäßigung wegen Schwerbehinderung, Verwaltungs-, Selbstverwaltungs-, Forschungs- und Entwicklungstätigkeit usw. Geschätzt.</a:t>
          </a:r>
          <a:r>
            <a:rPr lang="en-US" cap="none" sz="600" b="0" i="0" u="none" baseline="0">
              <a:latin typeface="Arial"/>
              <a:ea typeface="Arial"/>
              <a:cs typeface="Arial"/>
            </a:rPr>
            <a:t>
</a:t>
          </a:r>
          <a:r>
            <a:rPr lang="en-US" cap="none" sz="1200" b="0" i="0" u="none" baseline="0">
              <a:latin typeface="Arial"/>
              <a:ea typeface="Arial"/>
              <a:cs typeface="Arial"/>
            </a:rPr>
            <a:t>(6) Erste Daten aus der KLR der FH Bund, Brühl, gerechnet pro Studierendem, also als variable Kosten. Eine genauere Rechnung müsste zwischen fixen, sprungfixen und variablen Kosten unterscheiden, allerdings ist fraglich, ob die größere Genauigkeit für strategische Entscheidungen benötigt wird.
</a:t>
          </a:r>
          <a:r>
            <a:rPr lang="en-US" cap="none" sz="1200" b="1" i="0" u="none" baseline="0">
              <a:latin typeface="Arial"/>
              <a:ea typeface="Arial"/>
              <a:cs typeface="Arial"/>
            </a:rPr>
            <a:t>Kosten der Praktika</a:t>
          </a:r>
          <a:r>
            <a:rPr lang="en-US" cap="none" sz="1200" b="0" i="0" u="none" baseline="0">
              <a:latin typeface="Arial"/>
              <a:ea typeface="Arial"/>
              <a:cs typeface="Arial"/>
            </a:rPr>
            <a:t>: Hierzu liegen keine Daten vor, die Bewertung ist auch kaum "objektiv" möglich: objektiv messbar wäre die von den Praktikantinnen und Praktikanten geleistete Arbeit, der Zugewinn an Qualität durch die fachlichen Beiträge und durch die Weiterqualifizierung der Ausbilder ist wertmäßig kaum zu kalkulieren. Es wird deshalb davon ausgegangen, dass die Kosten der Praktika in den Praktikumsbehörden weitgehend durch die Vorteile kompensiert werden, in der Rechnung als vernachlässigt werden können. 
</a:t>
          </a:r>
        </a:p>
      </xdr:txBody>
    </xdr:sp>
    <xdr:clientData/>
  </xdr:twoCellAnchor>
  <xdr:twoCellAnchor>
    <xdr:from>
      <xdr:col>2</xdr:col>
      <xdr:colOff>295275</xdr:colOff>
      <xdr:row>7</xdr:row>
      <xdr:rowOff>104775</xdr:rowOff>
    </xdr:from>
    <xdr:to>
      <xdr:col>2</xdr:col>
      <xdr:colOff>685800</xdr:colOff>
      <xdr:row>7</xdr:row>
      <xdr:rowOff>104775</xdr:rowOff>
    </xdr:to>
    <xdr:sp>
      <xdr:nvSpPr>
        <xdr:cNvPr id="2" name="Line 2"/>
        <xdr:cNvSpPr>
          <a:spLocks/>
        </xdr:cNvSpPr>
      </xdr:nvSpPr>
      <xdr:spPr>
        <a:xfrm>
          <a:off x="2838450" y="16287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8</xdr:row>
      <xdr:rowOff>104775</xdr:rowOff>
    </xdr:from>
    <xdr:to>
      <xdr:col>2</xdr:col>
      <xdr:colOff>685800</xdr:colOff>
      <xdr:row>8</xdr:row>
      <xdr:rowOff>104775</xdr:rowOff>
    </xdr:to>
    <xdr:sp>
      <xdr:nvSpPr>
        <xdr:cNvPr id="3" name="Line 6"/>
        <xdr:cNvSpPr>
          <a:spLocks/>
        </xdr:cNvSpPr>
      </xdr:nvSpPr>
      <xdr:spPr>
        <a:xfrm>
          <a:off x="2838450" y="18192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10</xdr:row>
      <xdr:rowOff>104775</xdr:rowOff>
    </xdr:from>
    <xdr:to>
      <xdr:col>2</xdr:col>
      <xdr:colOff>685800</xdr:colOff>
      <xdr:row>10</xdr:row>
      <xdr:rowOff>104775</xdr:rowOff>
    </xdr:to>
    <xdr:sp>
      <xdr:nvSpPr>
        <xdr:cNvPr id="4" name="Line 7"/>
        <xdr:cNvSpPr>
          <a:spLocks/>
        </xdr:cNvSpPr>
      </xdr:nvSpPr>
      <xdr:spPr>
        <a:xfrm>
          <a:off x="2838450" y="22955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11</xdr:row>
      <xdr:rowOff>104775</xdr:rowOff>
    </xdr:from>
    <xdr:to>
      <xdr:col>2</xdr:col>
      <xdr:colOff>685800</xdr:colOff>
      <xdr:row>11</xdr:row>
      <xdr:rowOff>104775</xdr:rowOff>
    </xdr:to>
    <xdr:sp>
      <xdr:nvSpPr>
        <xdr:cNvPr id="5" name="Line 8"/>
        <xdr:cNvSpPr>
          <a:spLocks/>
        </xdr:cNvSpPr>
      </xdr:nvSpPr>
      <xdr:spPr>
        <a:xfrm>
          <a:off x="2838450" y="24860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171</xdr:row>
      <xdr:rowOff>133350</xdr:rowOff>
    </xdr:from>
    <xdr:to>
      <xdr:col>5</xdr:col>
      <xdr:colOff>819150</xdr:colOff>
      <xdr:row>187</xdr:row>
      <xdr:rowOff>104775</xdr:rowOff>
    </xdr:to>
    <xdr:sp>
      <xdr:nvSpPr>
        <xdr:cNvPr id="6" name="TextBox 10"/>
        <xdr:cNvSpPr txBox="1">
          <a:spLocks noChangeArrowheads="1"/>
        </xdr:cNvSpPr>
      </xdr:nvSpPr>
      <xdr:spPr>
        <a:xfrm>
          <a:off x="9525" y="33604200"/>
          <a:ext cx="592455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Weitere Anmerkungen</a:t>
          </a:r>
          <a:r>
            <a:rPr lang="en-US" cap="none" sz="1200" b="0" i="0" u="none" baseline="0">
              <a:latin typeface="Arial"/>
              <a:ea typeface="Arial"/>
              <a:cs typeface="Arial"/>
            </a:rPr>
            <a:t>
(7) Anwärtergrundbetrag ab 1. April 2003</a:t>
          </a:r>
          <a:r>
            <a:rPr lang="en-US" cap="none" sz="600" b="0" i="0" u="none" baseline="0">
              <a:latin typeface="Arial"/>
              <a:ea typeface="Arial"/>
              <a:cs typeface="Arial"/>
            </a:rPr>
            <a:t>
</a:t>
          </a:r>
          <a:r>
            <a:rPr lang="en-US" cap="none" sz="1200" b="0" i="0" u="none" baseline="0">
              <a:latin typeface="Arial"/>
              <a:ea typeface="Arial"/>
              <a:cs typeface="Arial"/>
            </a:rPr>
            <a:t>(8) Keine Daten vorhanden</a:t>
          </a:r>
          <a:r>
            <a:rPr lang="en-US" cap="none" sz="600" b="0" i="0" u="none" baseline="0">
              <a:latin typeface="Arial"/>
              <a:ea typeface="Arial"/>
              <a:cs typeface="Arial"/>
            </a:rPr>
            <a:t>
</a:t>
          </a:r>
          <a:r>
            <a:rPr lang="en-US" cap="none" sz="1200" b="0" i="0" u="none" baseline="0">
              <a:latin typeface="Arial"/>
              <a:ea typeface="Arial"/>
              <a:cs typeface="Arial"/>
            </a:rPr>
            <a:t>(9) Daten aus Personalkostentabelle 2002</a:t>
          </a:r>
          <a:r>
            <a:rPr lang="en-US" cap="none" sz="600" b="0" i="0" u="none" baseline="0">
              <a:latin typeface="Arial"/>
              <a:ea typeface="Arial"/>
              <a:cs typeface="Arial"/>
            </a:rPr>
            <a:t>
</a:t>
          </a:r>
          <a:r>
            <a:rPr lang="en-US" cap="none" sz="1200" b="0" i="0" u="none" baseline="0">
              <a:latin typeface="Arial"/>
              <a:ea typeface="Arial"/>
              <a:cs typeface="Arial"/>
            </a:rPr>
            <a:t>(10) Daten aus Personalkostentabelle 2002. Begründung für die Berechnung anhand der Besoldungsgruppe A 9: Anwärter erwerben Versorgungsansprüche nach mindestens A 9, so dass der Versorgungszuschlag aus A 9 zu entnehmen ist, d.h.  9.127 €/a. </a:t>
          </a:r>
        </a:p>
      </xdr:txBody>
    </xdr:sp>
    <xdr:clientData/>
  </xdr:twoCellAnchor>
  <xdr:twoCellAnchor>
    <xdr:from>
      <xdr:col>2</xdr:col>
      <xdr:colOff>295275</xdr:colOff>
      <xdr:row>12</xdr:row>
      <xdr:rowOff>95250</xdr:rowOff>
    </xdr:from>
    <xdr:to>
      <xdr:col>2</xdr:col>
      <xdr:colOff>685800</xdr:colOff>
      <xdr:row>12</xdr:row>
      <xdr:rowOff>95250</xdr:rowOff>
    </xdr:to>
    <xdr:sp>
      <xdr:nvSpPr>
        <xdr:cNvPr id="7" name="Line 11"/>
        <xdr:cNvSpPr>
          <a:spLocks/>
        </xdr:cNvSpPr>
      </xdr:nvSpPr>
      <xdr:spPr>
        <a:xfrm>
          <a:off x="2838450" y="26670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13</xdr:row>
      <xdr:rowOff>190500</xdr:rowOff>
    </xdr:from>
    <xdr:to>
      <xdr:col>3</xdr:col>
      <xdr:colOff>685800</xdr:colOff>
      <xdr:row>13</xdr:row>
      <xdr:rowOff>190500</xdr:rowOff>
    </xdr:to>
    <xdr:sp>
      <xdr:nvSpPr>
        <xdr:cNvPr id="8" name="Line 16"/>
        <xdr:cNvSpPr>
          <a:spLocks/>
        </xdr:cNvSpPr>
      </xdr:nvSpPr>
      <xdr:spPr>
        <a:xfrm>
          <a:off x="3724275" y="30003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15</xdr:row>
      <xdr:rowOff>104775</xdr:rowOff>
    </xdr:from>
    <xdr:to>
      <xdr:col>3</xdr:col>
      <xdr:colOff>685800</xdr:colOff>
      <xdr:row>15</xdr:row>
      <xdr:rowOff>104775</xdr:rowOff>
    </xdr:to>
    <xdr:sp>
      <xdr:nvSpPr>
        <xdr:cNvPr id="9" name="Line 18"/>
        <xdr:cNvSpPr>
          <a:spLocks/>
        </xdr:cNvSpPr>
      </xdr:nvSpPr>
      <xdr:spPr>
        <a:xfrm>
          <a:off x="3724275" y="33147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14</xdr:row>
      <xdr:rowOff>114300</xdr:rowOff>
    </xdr:from>
    <xdr:to>
      <xdr:col>3</xdr:col>
      <xdr:colOff>685800</xdr:colOff>
      <xdr:row>14</xdr:row>
      <xdr:rowOff>114300</xdr:rowOff>
    </xdr:to>
    <xdr:sp>
      <xdr:nvSpPr>
        <xdr:cNvPr id="10" name="Line 20"/>
        <xdr:cNvSpPr>
          <a:spLocks/>
        </xdr:cNvSpPr>
      </xdr:nvSpPr>
      <xdr:spPr>
        <a:xfrm>
          <a:off x="3724275" y="31242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waltungsmanagement.info/studium/reform/aiv-kosten.xls" TargetMode="External" /><Relationship Id="rId2" Type="http://schemas.openxmlformats.org/officeDocument/2006/relationships/hyperlink" Target="http://www.verwaltungsmanagement.info/studium/reform/aiv-kosten.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waltungsmanagement.info/studium/reform/aiv-kosten.xls" TargetMode="External" /><Relationship Id="rId2" Type="http://schemas.openxmlformats.org/officeDocument/2006/relationships/hyperlink" Target="http://www.verwaltungsmanagement.info/studium/reform/aiv-kosten.ht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lev.d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7"/>
  <sheetViews>
    <sheetView tabSelected="1" workbookViewId="0" topLeftCell="A1">
      <selection activeCell="A4" sqref="A4"/>
    </sheetView>
  </sheetViews>
  <sheetFormatPr defaultColWidth="11.421875" defaultRowHeight="12.75"/>
  <cols>
    <col min="1" max="1" width="26.7109375" style="19" customWidth="1"/>
    <col min="2" max="2" width="19.140625" style="14" customWidth="1"/>
    <col min="3" max="3" width="13.28125" style="14" customWidth="1"/>
    <col min="4" max="4" width="15.00390625" style="14" customWidth="1"/>
    <col min="5" max="5" width="12.8515625" style="14" customWidth="1"/>
    <col min="6" max="6" width="14.57421875" style="28" customWidth="1"/>
    <col min="7" max="7" width="20.140625" style="137" customWidth="1"/>
    <col min="8" max="8" width="18.57421875" style="24" bestFit="1" customWidth="1"/>
    <col min="9" max="9" width="14.140625" style="24" bestFit="1" customWidth="1"/>
    <col min="10" max="10" width="11.421875" style="24" customWidth="1"/>
    <col min="11" max="11" width="11.421875" style="28" customWidth="1"/>
    <col min="12" max="12" width="12.140625" style="28" bestFit="1" customWidth="1"/>
    <col min="13" max="13" width="11.421875" style="28" customWidth="1"/>
    <col min="14" max="16384" width="11.421875" style="19" customWidth="1"/>
  </cols>
  <sheetData>
    <row r="1" spans="1:13" s="11" customFormat="1" ht="15">
      <c r="A1" s="15" t="s">
        <v>203</v>
      </c>
      <c r="C1" s="9"/>
      <c r="D1" s="9"/>
      <c r="E1" s="144" t="s">
        <v>204</v>
      </c>
      <c r="H1" s="24"/>
      <c r="I1" s="68"/>
      <c r="J1" s="24"/>
      <c r="K1" s="133"/>
      <c r="L1" s="133"/>
      <c r="M1" s="133"/>
    </row>
    <row r="2" spans="1:13" s="17" customFormat="1" ht="15">
      <c r="A2" s="15" t="s">
        <v>206</v>
      </c>
      <c r="D2" s="16"/>
      <c r="E2" s="144" t="s">
        <v>209</v>
      </c>
      <c r="F2" s="135"/>
      <c r="H2" s="136"/>
      <c r="I2" s="134"/>
      <c r="J2" s="134"/>
      <c r="K2" s="135"/>
      <c r="L2" s="135"/>
      <c r="M2" s="135"/>
    </row>
    <row r="3" spans="1:13" s="157" customFormat="1" ht="24.75" customHeight="1">
      <c r="A3" s="152" t="s">
        <v>190</v>
      </c>
      <c r="B3" s="153"/>
      <c r="C3" s="153"/>
      <c r="D3" s="154"/>
      <c r="E3" s="155"/>
      <c r="F3" s="156"/>
      <c r="H3" s="158"/>
      <c r="I3" s="159"/>
      <c r="J3" s="159"/>
      <c r="K3" s="160"/>
      <c r="L3" s="160"/>
      <c r="M3" s="160"/>
    </row>
    <row r="4" spans="1:13" s="157" customFormat="1" ht="27.75" customHeight="1">
      <c r="A4" s="167" t="s">
        <v>226</v>
      </c>
      <c r="B4" s="168"/>
      <c r="D4" s="169" t="s">
        <v>228</v>
      </c>
      <c r="F4" s="160"/>
      <c r="H4" s="158"/>
      <c r="I4" s="159"/>
      <c r="J4" s="159"/>
      <c r="K4" s="160"/>
      <c r="L4" s="160"/>
      <c r="M4" s="160"/>
    </row>
    <row r="5" spans="1:8" ht="19.5" customHeight="1">
      <c r="A5" s="8" t="s">
        <v>191</v>
      </c>
      <c r="C5" s="20">
        <f>kost5/(10^6)</f>
        <v>22.68</v>
      </c>
      <c r="D5" s="21" t="s">
        <v>41</v>
      </c>
      <c r="G5" s="24"/>
      <c r="H5" s="135"/>
    </row>
    <row r="6" spans="1:8" ht="19.5" customHeight="1">
      <c r="A6" s="8" t="s">
        <v>200</v>
      </c>
      <c r="C6" s="20"/>
      <c r="D6" s="21"/>
      <c r="G6" s="68"/>
      <c r="H6" s="135"/>
    </row>
    <row r="7" spans="1:8" ht="18">
      <c r="A7" s="19" t="s">
        <v>168</v>
      </c>
      <c r="C7" s="13">
        <f>ROUND(Berechnung!K12,-3)</f>
        <v>159000</v>
      </c>
      <c r="D7" s="14" t="s">
        <v>214</v>
      </c>
      <c r="G7" s="68"/>
      <c r="H7" s="135"/>
    </row>
    <row r="8" spans="1:7" ht="18">
      <c r="A8" s="19" t="s">
        <v>221</v>
      </c>
      <c r="C8" s="13">
        <f>ROUND(Berechnung!K10,-3)</f>
        <v>118000</v>
      </c>
      <c r="D8" s="14" t="s">
        <v>214</v>
      </c>
      <c r="G8" s="68"/>
    </row>
    <row r="9" spans="1:12" ht="18.75" customHeight="1">
      <c r="A9" s="19" t="s">
        <v>167</v>
      </c>
      <c r="C9" s="13">
        <f>ROUND(Berechnung!K11,-3)</f>
        <v>200000</v>
      </c>
      <c r="D9" s="14" t="s">
        <v>214</v>
      </c>
      <c r="G9" s="170"/>
      <c r="H9" s="170"/>
      <c r="I9" s="170"/>
      <c r="J9" s="170"/>
      <c r="K9" s="170"/>
      <c r="L9" s="170"/>
    </row>
    <row r="10" spans="1:10" ht="19.5" customHeight="1">
      <c r="A10" s="8" t="str">
        <f>"3. Kosten pro Lehrv.-stunde (45 Min.) und  "&amp;Kursgröße&amp;" Studierenden pro Kurs"</f>
        <v>3. Kosten pro Lehrv.-stunde (45 Min.) und  25 Studierenden pro Kurs</v>
      </c>
      <c r="B10" s="56"/>
      <c r="C10" s="151"/>
      <c r="G10" s="68"/>
      <c r="H10" s="139"/>
      <c r="I10" s="139"/>
      <c r="J10" s="139"/>
    </row>
    <row r="11" spans="1:10" ht="15">
      <c r="A11" s="19" t="s">
        <v>192</v>
      </c>
      <c r="C11" s="14">
        <f>DozStd</f>
        <v>154.79876160990713</v>
      </c>
      <c r="D11" s="55" t="s">
        <v>35</v>
      </c>
      <c r="G11" s="68"/>
      <c r="H11" s="139"/>
      <c r="I11" s="139"/>
      <c r="J11" s="139"/>
    </row>
    <row r="12" spans="1:10" ht="15">
      <c r="A12" s="19" t="s">
        <v>222</v>
      </c>
      <c r="C12" s="13">
        <f>StundenkostenStud*Kursgröße</f>
        <v>747.8355267063706</v>
      </c>
      <c r="D12" s="55" t="s">
        <v>35</v>
      </c>
      <c r="G12" s="13" t="str">
        <f>"("&amp;Kursgröße&amp;" Studierende pro Kurs)"</f>
        <v>(25 Studierende pro Kurs)</v>
      </c>
      <c r="H12" s="139"/>
      <c r="I12" s="139"/>
      <c r="J12" s="139"/>
    </row>
    <row r="13" spans="1:10" ht="15">
      <c r="A13" s="19" t="s">
        <v>223</v>
      </c>
      <c r="C13" s="13">
        <f>sachkostensatz*Kursgröße/(2*JahresstundenFHB)</f>
        <v>109.36269669662163</v>
      </c>
      <c r="D13" s="55" t="s">
        <v>35</v>
      </c>
      <c r="E13" s="13"/>
      <c r="G13" s="68"/>
      <c r="H13" s="139"/>
      <c r="I13" s="139"/>
      <c r="J13" s="139"/>
    </row>
    <row r="14" spans="1:10" ht="15">
      <c r="A14" s="138" t="s">
        <v>208</v>
      </c>
      <c r="B14" s="24"/>
      <c r="C14" s="143">
        <f>SUM(C11:C13)</f>
        <v>1011.9969850128994</v>
      </c>
      <c r="D14" s="141" t="s">
        <v>35</v>
      </c>
      <c r="E14" s="24"/>
      <c r="G14" s="28" t="s">
        <v>197</v>
      </c>
      <c r="H14" s="139"/>
      <c r="I14" s="139"/>
      <c r="J14" s="139"/>
    </row>
    <row r="15" spans="1:10" ht="19.5" customHeight="1">
      <c r="A15" s="142" t="str">
        <f>"4. "&amp;Berechnung!A25</f>
        <v>4. Zusatzkosten d. Wiederholung LBP (Verlängerung um 0,5 Jahre)</v>
      </c>
      <c r="B15" s="24"/>
      <c r="C15" s="24"/>
      <c r="D15" s="141"/>
      <c r="E15" s="24"/>
      <c r="G15" s="68"/>
      <c r="H15" s="139"/>
      <c r="I15" s="139"/>
      <c r="J15" s="139"/>
    </row>
    <row r="16" spans="1:10" ht="15">
      <c r="A16" s="28" t="str">
        <f>Berechnung!A26</f>
        <v>pro Einsteiger</v>
      </c>
      <c r="B16" s="28"/>
      <c r="C16" s="24">
        <f>Berechnung!C26</f>
        <v>12793.486499999999</v>
      </c>
      <c r="D16" s="141"/>
      <c r="E16" s="24"/>
      <c r="G16" s="68"/>
      <c r="H16" s="139"/>
      <c r="I16" s="139"/>
      <c r="J16" s="139"/>
    </row>
    <row r="17" spans="1:10" ht="15">
      <c r="A17" s="28" t="str">
        <f>Berechnung!A27</f>
        <v>pro Aufsteiger</v>
      </c>
      <c r="B17" s="24"/>
      <c r="C17" s="24">
        <f>Berechnung!C27</f>
        <v>25500</v>
      </c>
      <c r="D17" s="141"/>
      <c r="E17" s="24"/>
      <c r="G17" s="68"/>
      <c r="H17" s="139"/>
      <c r="I17" s="139"/>
      <c r="J17" s="139"/>
    </row>
    <row r="18" spans="1:10" ht="15">
      <c r="A18" s="142" t="str">
        <f>Berechnung!A28</f>
        <v>Kosten durchschn.</v>
      </c>
      <c r="B18" s="45"/>
      <c r="C18" s="45">
        <f>Berechnung!C28</f>
        <v>19146.74325</v>
      </c>
      <c r="D18" s="141"/>
      <c r="E18" s="24"/>
      <c r="G18" s="68"/>
      <c r="H18" s="139"/>
      <c r="I18" s="139"/>
      <c r="J18" s="139"/>
    </row>
    <row r="19" spans="1:10" ht="15">
      <c r="A19" s="28" t="str">
        <f>Berechnung!A29</f>
        <v> mal Wiederholerzahl</v>
      </c>
      <c r="B19" s="24">
        <f>Berechnung!B29</f>
        <v>22.5</v>
      </c>
      <c r="C19" s="171" t="str">
        <f>" = Gesamtkosten"</f>
        <v> = Gesamtkosten</v>
      </c>
      <c r="D19" s="171"/>
      <c r="E19" s="45">
        <f>kostdurchfall</f>
        <v>430801.723125</v>
      </c>
      <c r="G19" s="68"/>
      <c r="H19" s="139"/>
      <c r="I19" s="139"/>
      <c r="J19" s="139"/>
    </row>
    <row r="20" spans="1:10" ht="24.75" customHeight="1">
      <c r="A20" s="142" t="s">
        <v>198</v>
      </c>
      <c r="B20" s="24"/>
      <c r="C20" s="45"/>
      <c r="D20" s="141"/>
      <c r="E20" s="24"/>
      <c r="G20" s="68"/>
      <c r="H20" s="139"/>
      <c r="I20" s="139"/>
      <c r="J20" s="139"/>
    </row>
    <row r="21" spans="1:10" ht="15">
      <c r="A21" s="140" t="s">
        <v>220</v>
      </c>
      <c r="B21" s="140"/>
      <c r="C21" s="140"/>
      <c r="D21" s="140"/>
      <c r="E21" s="49">
        <f>kost2/kost5</f>
        <v>0.07863678804855274</v>
      </c>
      <c r="G21" s="28" t="s">
        <v>199</v>
      </c>
      <c r="H21" s="139"/>
      <c r="I21" s="139"/>
      <c r="J21" s="139"/>
    </row>
    <row r="22" spans="1:10" ht="15">
      <c r="A22" s="140" t="s">
        <v>224</v>
      </c>
      <c r="B22" s="140"/>
      <c r="C22" s="140"/>
      <c r="D22" s="140"/>
      <c r="E22" s="49">
        <f>kost1/kost5</f>
        <v>0.7806856622767858</v>
      </c>
      <c r="G22" s="68"/>
      <c r="H22" s="139"/>
      <c r="I22" s="139"/>
      <c r="J22" s="139"/>
    </row>
    <row r="63" spans="1:3" ht="15">
      <c r="A63" s="75"/>
      <c r="B63" s="21"/>
      <c r="C63" s="21"/>
    </row>
    <row r="65" spans="1:3" ht="15">
      <c r="A65" s="8"/>
      <c r="B65" s="13"/>
      <c r="C65" s="19"/>
    </row>
    <row r="66" spans="1:4" ht="15">
      <c r="A66" s="13"/>
      <c r="C66" s="19"/>
      <c r="D66" s="68"/>
    </row>
    <row r="67" spans="2:4" ht="15">
      <c r="B67" s="19"/>
      <c r="C67" s="19"/>
      <c r="D67" s="68"/>
    </row>
    <row r="76" spans="2:4" ht="15">
      <c r="B76" s="19"/>
      <c r="C76" s="19"/>
      <c r="D76" s="19"/>
    </row>
    <row r="77" spans="2:4" ht="15">
      <c r="B77" s="19"/>
      <c r="C77" s="19"/>
      <c r="D77" s="19"/>
    </row>
  </sheetData>
  <sheetProtection password="E152" sheet="1" objects="1" scenarios="1"/>
  <mergeCells count="2">
    <mergeCell ref="G9:L9"/>
    <mergeCell ref="C19:D19"/>
  </mergeCells>
  <hyperlinks>
    <hyperlink ref="A1" r:id="rId1" display="http://www.verwaltungsmanagement.info/studium/reform/aiv-kosten.xls"/>
    <hyperlink ref="A2" r:id="rId2" display="http://www.verwaltungsmanagement.info/studium/reform/aiv-kosten.htm"/>
    <hyperlink ref="D4" location="Berechnung!A1" display="Berechnung"/>
  </hyperlinks>
  <printOptions horizontalCentered="1"/>
  <pageMargins left="0.7874015748031497" right="0.3937007874015748" top="0.984251968503937" bottom="0.984251968503937" header="0.5905511811023623" footer="0.5118110236220472"/>
  <pageSetup horizontalDpi="600" verticalDpi="600" orientation="portrait" paperSize="9" scale="93" r:id="rId4"/>
  <headerFooter alignWithMargins="0">
    <oddHeader>&amp;L&amp;"Arial,Fett"&amp;14Bildungsinvestionen in die AIV-Ausbildung pro Jahr&amp;R&amp;12Seite &amp;P von &amp;N</oddHeader>
    <oddFooter>&amp;L&amp;11&amp;F&amp;C&amp;11Version 1.2
© Krems 2004-05&amp;R&amp;11&amp;D - &amp;T</oddFooter>
  </headerFooter>
  <drawing r:id="rId3"/>
</worksheet>
</file>

<file path=xl/worksheets/sheet2.xml><?xml version="1.0" encoding="utf-8"?>
<worksheet xmlns="http://schemas.openxmlformats.org/spreadsheetml/2006/main" xmlns:r="http://schemas.openxmlformats.org/officeDocument/2006/relationships">
  <dimension ref="A1:M184"/>
  <sheetViews>
    <sheetView workbookViewId="0" topLeftCell="A1">
      <selection activeCell="A4" sqref="A4"/>
    </sheetView>
  </sheetViews>
  <sheetFormatPr defaultColWidth="11.421875" defaultRowHeight="12.75"/>
  <cols>
    <col min="1" max="1" width="26.7109375" style="19" customWidth="1"/>
    <col min="2" max="2" width="11.421875" style="14" customWidth="1"/>
    <col min="3" max="3" width="13.28125" style="14" customWidth="1"/>
    <col min="4" max="4" width="15.00390625" style="14" customWidth="1"/>
    <col min="5" max="5" width="10.28125" style="14" customWidth="1"/>
    <col min="6" max="6" width="14.57421875" style="19" customWidth="1"/>
    <col min="7" max="7" width="20.140625" style="82" customWidth="1"/>
    <col min="8" max="8" width="18.57421875" style="14" bestFit="1" customWidth="1"/>
    <col min="9" max="9" width="14.140625" style="14" bestFit="1" customWidth="1"/>
    <col min="10" max="10" width="11.421875" style="14" customWidth="1"/>
    <col min="11" max="11" width="11.421875" style="19" customWidth="1"/>
    <col min="12" max="12" width="12.140625" style="19" bestFit="1" customWidth="1"/>
    <col min="13" max="16384" width="11.421875" style="19" customWidth="1"/>
  </cols>
  <sheetData>
    <row r="1" spans="1:10" s="11" customFormat="1" ht="15">
      <c r="A1" s="15" t="s">
        <v>203</v>
      </c>
      <c r="C1" s="9"/>
      <c r="D1" s="9"/>
      <c r="E1" s="144" t="s">
        <v>204</v>
      </c>
      <c r="F1" s="10"/>
      <c r="G1" s="78" t="s">
        <v>84</v>
      </c>
      <c r="H1" s="12"/>
      <c r="I1" s="13">
        <f>(kost2+kost4)/Anfänger</f>
        <v>33087.18993415258</v>
      </c>
      <c r="J1" s="14">
        <f>I1*Misserfolgzuschlag</f>
        <v>34828.6209833185</v>
      </c>
    </row>
    <row r="2" spans="1:10" s="17" customFormat="1" ht="15.75" thickBot="1">
      <c r="A2" s="15" t="s">
        <v>206</v>
      </c>
      <c r="D2" s="16"/>
      <c r="E2" s="144" t="s">
        <v>205</v>
      </c>
      <c r="F2" s="10"/>
      <c r="G2" s="79">
        <f>1/(1-Misserfolgsquote)</f>
        <v>1.0526315789473684</v>
      </c>
      <c r="H2" s="18"/>
      <c r="I2" s="16"/>
      <c r="J2" s="16"/>
    </row>
    <row r="3" spans="1:10" s="17" customFormat="1" ht="22.5" customHeight="1">
      <c r="A3" s="152" t="str">
        <f>Ergebnisse!A3</f>
        <v>Ungefähre jährliche Kosten der AIV-Ausbildung für den Bund insgesamt</v>
      </c>
      <c r="B3" s="153"/>
      <c r="C3" s="153"/>
      <c r="D3" s="154"/>
      <c r="E3" s="155"/>
      <c r="F3" s="156"/>
      <c r="G3" s="131"/>
      <c r="H3" s="132"/>
      <c r="I3" s="16"/>
      <c r="J3" s="16"/>
    </row>
    <row r="4" spans="1:10" s="17" customFormat="1" ht="16.5" customHeight="1" thickBot="1">
      <c r="A4" s="37" t="s">
        <v>227</v>
      </c>
      <c r="B4" s="166" t="s">
        <v>229</v>
      </c>
      <c r="C4" s="64"/>
      <c r="E4" s="64"/>
      <c r="F4" s="165"/>
      <c r="G4" s="131"/>
      <c r="H4" s="132"/>
      <c r="I4" s="16"/>
      <c r="J4" s="16"/>
    </row>
    <row r="5" spans="1:12" ht="15.75" thickBot="1">
      <c r="A5" s="51"/>
      <c r="B5" s="51"/>
      <c r="C5" s="51"/>
      <c r="D5" s="51"/>
      <c r="E5" s="51"/>
      <c r="F5" s="161"/>
      <c r="G5" s="80" t="s">
        <v>131</v>
      </c>
      <c r="H5" s="22"/>
      <c r="K5" s="19">
        <f>I10/H10</f>
        <v>1.0254166666666666</v>
      </c>
      <c r="L5" s="19">
        <f>H12*K5</f>
        <v>117800.33784562499</v>
      </c>
    </row>
    <row r="6" spans="1:8" ht="15.75" thickBot="1">
      <c r="A6" s="23" t="s">
        <v>215</v>
      </c>
      <c r="B6" s="162" t="s">
        <v>216</v>
      </c>
      <c r="C6" s="25" t="s">
        <v>217</v>
      </c>
      <c r="D6" s="25"/>
      <c r="E6" s="25"/>
      <c r="F6" s="26"/>
      <c r="G6" s="81">
        <f>kost2proAbsolvent+kost4proAbsolvent</f>
        <v>34828.620983318506</v>
      </c>
      <c r="H6" s="129"/>
    </row>
    <row r="7" spans="1:12" ht="18.75" customHeight="1" thickBot="1">
      <c r="A7" s="28" t="s">
        <v>0</v>
      </c>
      <c r="B7" s="94">
        <v>150</v>
      </c>
      <c r="D7" s="119" t="s">
        <v>42</v>
      </c>
      <c r="E7" s="119"/>
      <c r="F7" s="29"/>
      <c r="G7" s="173" t="s">
        <v>133</v>
      </c>
      <c r="H7" s="174"/>
      <c r="I7" s="174"/>
      <c r="J7" s="174"/>
      <c r="K7" s="174"/>
      <c r="L7" s="175"/>
    </row>
    <row r="8" spans="1:11" ht="15">
      <c r="A8" s="19" t="s">
        <v>29</v>
      </c>
      <c r="B8" s="95">
        <v>3</v>
      </c>
      <c r="C8" s="24"/>
      <c r="D8" s="19" t="s">
        <v>38</v>
      </c>
      <c r="E8" s="14">
        <f>B8*B7</f>
        <v>450</v>
      </c>
      <c r="G8" s="81"/>
      <c r="H8" s="172" t="s">
        <v>89</v>
      </c>
      <c r="I8" s="172"/>
      <c r="J8" s="172"/>
      <c r="K8" s="19" t="s">
        <v>130</v>
      </c>
    </row>
    <row r="9" spans="1:13" ht="22.5" customHeight="1">
      <c r="A9" s="28" t="s">
        <v>39</v>
      </c>
      <c r="B9" s="96">
        <v>0.5</v>
      </c>
      <c r="C9" s="24"/>
      <c r="D9" s="28" t="s">
        <v>27</v>
      </c>
      <c r="E9" s="14">
        <f>E8*(1-B9)</f>
        <v>225</v>
      </c>
      <c r="F9" s="33"/>
      <c r="H9" s="27" t="s">
        <v>90</v>
      </c>
      <c r="I9" s="19" t="s">
        <v>92</v>
      </c>
      <c r="J9" s="14" t="s">
        <v>93</v>
      </c>
      <c r="K9" s="14">
        <f>weitereKostenproAbsolvent</f>
        <v>34828.620983318506</v>
      </c>
      <c r="M9" s="19" t="s">
        <v>129</v>
      </c>
    </row>
    <row r="10" spans="2:13" ht="15">
      <c r="B10" s="97"/>
      <c r="D10" s="28" t="s">
        <v>6</v>
      </c>
      <c r="E10" s="14">
        <f>E8*B9</f>
        <v>225</v>
      </c>
      <c r="G10" s="83" t="s">
        <v>27</v>
      </c>
      <c r="H10" s="14">
        <f>C19</f>
        <v>76760.919</v>
      </c>
      <c r="I10" s="14">
        <f>H10+(Wiederholerquote+Verlängerungsquote)*0.5*B19</f>
        <v>78711.92569125</v>
      </c>
      <c r="J10" s="14">
        <f>ROUND(I10*Misserfolgzuschlag,-3)</f>
        <v>83000</v>
      </c>
      <c r="K10" s="14">
        <f>J10+G$6</f>
        <v>117828.62098331851</v>
      </c>
      <c r="M10" s="31">
        <f>J10/K10</f>
        <v>0.7044128948241757</v>
      </c>
    </row>
    <row r="11" spans="1:13" ht="15">
      <c r="A11" s="19" t="s">
        <v>128</v>
      </c>
      <c r="B11" s="95">
        <v>25</v>
      </c>
      <c r="C11" s="24"/>
      <c r="D11" s="19" t="s">
        <v>18</v>
      </c>
      <c r="E11" s="35">
        <f>Studierende/B11</f>
        <v>18</v>
      </c>
      <c r="G11" s="83" t="s">
        <v>6</v>
      </c>
      <c r="H11" s="14">
        <f>C20</f>
        <v>153000</v>
      </c>
      <c r="I11" s="14">
        <f>H11+(Wiederholerquote+Verlängerungsquote)*0.5*B20</f>
        <v>156888.75</v>
      </c>
      <c r="J11" s="14">
        <f>ROUND(I11*Misserfolgzuschlag,-3)</f>
        <v>165000</v>
      </c>
      <c r="K11" s="14">
        <f>J11+G$6</f>
        <v>199828.6209833185</v>
      </c>
      <c r="L11" s="32">
        <f>K11/K$10-1</f>
        <v>0.6959259924768963</v>
      </c>
      <c r="M11" s="31">
        <f>J11/K11</f>
        <v>0.8257075447354162</v>
      </c>
    </row>
    <row r="12" spans="1:13" ht="15">
      <c r="A12" s="19" t="s">
        <v>40</v>
      </c>
      <c r="B12" s="96">
        <v>0.15</v>
      </c>
      <c r="C12" s="24"/>
      <c r="D12" s="19" t="s">
        <v>43</v>
      </c>
      <c r="E12" s="14">
        <f>B12*B7</f>
        <v>22.5</v>
      </c>
      <c r="G12" s="84" t="s">
        <v>91</v>
      </c>
      <c r="H12" s="14">
        <f>C21</f>
        <v>114880.4595</v>
      </c>
      <c r="I12" s="14">
        <f>H12+(Wiederholerquote+Verlängerungsquote)*0.5*B21</f>
        <v>117800.33784562499</v>
      </c>
      <c r="J12" s="14">
        <f>ROUND(I12*Misserfolgzuschlag,-3)</f>
        <v>124000</v>
      </c>
      <c r="K12" s="14">
        <f>J12+G$6</f>
        <v>158828.6209833185</v>
      </c>
      <c r="L12" s="32">
        <f>K12/K$10-1</f>
        <v>0.3479629962384483</v>
      </c>
      <c r="M12" s="31">
        <f>J12/K12</f>
        <v>0.780715712522767</v>
      </c>
    </row>
    <row r="13" spans="1:11" ht="18.75" thickBot="1">
      <c r="A13" s="26" t="s">
        <v>80</v>
      </c>
      <c r="B13" s="1">
        <v>0.05</v>
      </c>
      <c r="C13" s="25"/>
      <c r="D13" s="23" t="s">
        <v>163</v>
      </c>
      <c r="E13" s="36">
        <f>Anfänger*(1-Misserfolgsquote)</f>
        <v>142.5</v>
      </c>
      <c r="F13" s="26"/>
      <c r="G13" s="85" t="s">
        <v>127</v>
      </c>
      <c r="H13" s="14" t="s">
        <v>134</v>
      </c>
      <c r="K13" s="14"/>
    </row>
    <row r="14" spans="1:10" ht="15.75" thickBot="1">
      <c r="A14" s="19" t="s">
        <v>106</v>
      </c>
      <c r="B14" s="14">
        <f>E14*Jahre</f>
        <v>2280</v>
      </c>
      <c r="C14" s="14" t="s">
        <v>107</v>
      </c>
      <c r="E14" s="3">
        <v>760</v>
      </c>
      <c r="G14" s="86" t="s">
        <v>94</v>
      </c>
      <c r="I14" s="14">
        <f>kost1</f>
        <v>17705950.820437502</v>
      </c>
      <c r="J14" s="14">
        <f>kost1/absolventen</f>
        <v>124252.28645921055</v>
      </c>
    </row>
    <row r="15" spans="1:9" ht="15.75" thickBot="1">
      <c r="A15" s="37" t="s">
        <v>108</v>
      </c>
      <c r="B15" s="2">
        <v>0.8422</v>
      </c>
      <c r="C15" s="14">
        <f>B14-C16</f>
        <v>1920.216</v>
      </c>
      <c r="D15" s="24"/>
      <c r="E15" s="14">
        <f>C15/Jahre</f>
        <v>640.072</v>
      </c>
      <c r="G15" s="82" t="s">
        <v>79</v>
      </c>
      <c r="H15" s="14">
        <f>absolventen</f>
        <v>142.5</v>
      </c>
      <c r="I15" s="14">
        <f>absolventen</f>
        <v>142.5</v>
      </c>
    </row>
    <row r="16" spans="1:9" ht="15">
      <c r="A16" s="37" t="s">
        <v>109</v>
      </c>
      <c r="B16" s="38">
        <f>1-B15</f>
        <v>0.15780000000000005</v>
      </c>
      <c r="C16" s="14">
        <f>B14*B16</f>
        <v>359.7840000000001</v>
      </c>
      <c r="D16" s="24"/>
      <c r="E16" s="14">
        <f>C16/Jahre</f>
        <v>119.92800000000004</v>
      </c>
      <c r="I16" s="14">
        <f>I14/I15</f>
        <v>124252.28645921055</v>
      </c>
    </row>
    <row r="17" spans="1:6" ht="22.5" customHeight="1">
      <c r="A17" s="23" t="s">
        <v>33</v>
      </c>
      <c r="B17" s="25"/>
      <c r="C17" s="23" t="s">
        <v>132</v>
      </c>
      <c r="D17" s="25"/>
      <c r="E17" s="25"/>
      <c r="F17" s="26"/>
    </row>
    <row r="18" spans="2:9" ht="15">
      <c r="B18" s="40" t="s">
        <v>49</v>
      </c>
      <c r="C18" s="41" t="s">
        <v>88</v>
      </c>
      <c r="D18" s="42" t="s">
        <v>48</v>
      </c>
      <c r="G18" s="87" t="s">
        <v>195</v>
      </c>
      <c r="H18" s="14">
        <f>StundenFHB</f>
        <v>1920.216</v>
      </c>
      <c r="I18" s="14">
        <f>H18+H18*(1+Wiederholerquote)/6</f>
        <v>2288.2574</v>
      </c>
    </row>
    <row r="19" spans="1:8" ht="18">
      <c r="A19" s="44" t="s">
        <v>141</v>
      </c>
      <c r="B19" s="14">
        <f>JahreskostenEinsteiger</f>
        <v>25586.972999999998</v>
      </c>
      <c r="C19" s="14">
        <f>B19*Jahre</f>
        <v>76760.919</v>
      </c>
      <c r="D19" s="14">
        <f>B19*Einsteiger</f>
        <v>5757068.925</v>
      </c>
      <c r="G19" s="87" t="s">
        <v>196</v>
      </c>
      <c r="H19" s="14">
        <f>StundenBVA</f>
        <v>359.7840000000001</v>
      </c>
    </row>
    <row r="20" spans="1:8" ht="26.25" customHeight="1">
      <c r="A20" s="19" t="s">
        <v>32</v>
      </c>
      <c r="B20" s="14">
        <v>51000</v>
      </c>
      <c r="C20" s="14">
        <f>JahreskostenAufsteiger*Jahre</f>
        <v>153000</v>
      </c>
      <c r="D20" s="14">
        <f>B20*Aufsteiger</f>
        <v>11475000</v>
      </c>
      <c r="E20" s="31">
        <f>JahreskostenAufsteiger/B19-1</f>
        <v>0.9932017749813549</v>
      </c>
      <c r="G20" s="88"/>
      <c r="H20" s="39"/>
    </row>
    <row r="21" spans="1:8" ht="15">
      <c r="A21" s="19" t="s">
        <v>7</v>
      </c>
      <c r="B21" s="14">
        <f>B20*Aufsteigerquote+B19*(1-Aufsteigerquote)</f>
        <v>38293.4865</v>
      </c>
      <c r="C21" s="14">
        <f>JahreskostenDurchschnitt*Jahre</f>
        <v>114880.4595</v>
      </c>
      <c r="D21" s="14">
        <f>SUM(D19:D20)</f>
        <v>17232068.925</v>
      </c>
      <c r="E21" s="31">
        <f>JahreskostenDurchschnitt/B19-1</f>
        <v>0.49660088749067754</v>
      </c>
      <c r="F21" s="45">
        <f>D21</f>
        <v>17232068.925</v>
      </c>
      <c r="G21" s="88"/>
      <c r="H21" s="43"/>
    </row>
    <row r="22" spans="5:11" ht="15">
      <c r="E22" s="31"/>
      <c r="F22" s="45"/>
      <c r="H22" s="32"/>
      <c r="I22" s="30"/>
      <c r="K22" s="31"/>
    </row>
    <row r="23" spans="1:11" ht="15">
      <c r="A23" s="19" t="s">
        <v>194</v>
      </c>
      <c r="E23" s="14">
        <f>JahreskostenDurchschnitt*Jahre/(2*StundenFHB)</f>
        <v>29.913421068254824</v>
      </c>
      <c r="F23" s="45"/>
      <c r="H23" s="32"/>
      <c r="I23" s="30"/>
      <c r="K23" s="31"/>
    </row>
    <row r="24" spans="5:11" ht="15">
      <c r="E24" s="31"/>
      <c r="F24" s="45"/>
      <c r="H24" s="32"/>
      <c r="I24" s="30"/>
      <c r="K24" s="31"/>
    </row>
    <row r="25" spans="1:11" ht="15">
      <c r="A25" s="8" t="s">
        <v>85</v>
      </c>
      <c r="H25" s="32"/>
      <c r="I25" s="30"/>
      <c r="K25" s="31"/>
    </row>
    <row r="26" spans="1:11" ht="15">
      <c r="A26" s="19" t="s">
        <v>210</v>
      </c>
      <c r="C26" s="14">
        <f>JahreskostenEinsteiger/2</f>
        <v>12793.486499999999</v>
      </c>
      <c r="D26" s="19"/>
      <c r="E26" s="19"/>
      <c r="G26" s="86" t="s">
        <v>193</v>
      </c>
      <c r="H26" s="32"/>
      <c r="I26" s="30"/>
      <c r="K26" s="31"/>
    </row>
    <row r="27" spans="1:11" ht="15">
      <c r="A27" s="14" t="s">
        <v>211</v>
      </c>
      <c r="C27" s="14">
        <f>JahreskostenAufsteiger/2</f>
        <v>25500</v>
      </c>
      <c r="G27" s="86"/>
      <c r="H27" s="32"/>
      <c r="I27" s="30"/>
      <c r="K27" s="31"/>
    </row>
    <row r="28" spans="1:11" ht="15">
      <c r="A28" s="8" t="s">
        <v>212</v>
      </c>
      <c r="B28" s="21"/>
      <c r="C28" s="21">
        <f>B21/2</f>
        <v>19146.74325</v>
      </c>
      <c r="D28" s="21"/>
      <c r="G28" s="86"/>
      <c r="H28" s="32"/>
      <c r="I28" s="30"/>
      <c r="K28" s="31"/>
    </row>
    <row r="29" spans="1:11" ht="15.75" thickBot="1">
      <c r="A29" s="19" t="s">
        <v>87</v>
      </c>
      <c r="B29" s="14">
        <f>Wiederholer</f>
        <v>22.5</v>
      </c>
      <c r="E29" s="27"/>
      <c r="F29" s="21">
        <f>E12/2*JahreskostenDurchschnitt</f>
        <v>430801.723125</v>
      </c>
      <c r="H29" s="32"/>
      <c r="I29" s="30"/>
      <c r="K29" s="31"/>
    </row>
    <row r="30" spans="1:6" ht="21.75" customHeight="1" thickBot="1">
      <c r="A30" s="8" t="s">
        <v>86</v>
      </c>
      <c r="E30" s="6">
        <v>0.0025</v>
      </c>
      <c r="F30" s="21">
        <f>kost1a*E30</f>
        <v>43080.172312500006</v>
      </c>
    </row>
    <row r="31" spans="1:6" ht="15">
      <c r="A31" s="125" t="s">
        <v>26</v>
      </c>
      <c r="B31" s="126"/>
      <c r="C31" s="126"/>
      <c r="D31" s="126"/>
      <c r="E31" s="126"/>
      <c r="F31" s="77">
        <f>SUM(F18:F30)</f>
        <v>17705950.820437502</v>
      </c>
    </row>
    <row r="32" spans="1:6" ht="15">
      <c r="A32" s="46" t="s">
        <v>124</v>
      </c>
      <c r="B32" s="47" t="s">
        <v>122</v>
      </c>
      <c r="C32" s="24"/>
      <c r="D32" s="48"/>
      <c r="E32" s="49">
        <f>kost1/kost5</f>
        <v>0.7806856622767858</v>
      </c>
      <c r="F32" s="34"/>
    </row>
    <row r="33" spans="1:6" ht="15.75" thickBot="1">
      <c r="A33" s="50"/>
      <c r="B33" s="51" t="s">
        <v>123</v>
      </c>
      <c r="C33" s="52"/>
      <c r="D33" s="53"/>
      <c r="E33" s="54">
        <f>kost1/absolventen</f>
        <v>124252.28645921055</v>
      </c>
      <c r="F33" s="54"/>
    </row>
    <row r="34" spans="1:6" ht="18.75" thickBot="1">
      <c r="A34" s="23" t="s">
        <v>95</v>
      </c>
      <c r="B34" s="25"/>
      <c r="C34" s="23" t="s">
        <v>9</v>
      </c>
      <c r="D34" s="25"/>
      <c r="E34" s="25"/>
      <c r="F34" s="26"/>
    </row>
    <row r="35" spans="1:7" ht="18.75" thickBot="1">
      <c r="A35" s="19" t="s">
        <v>34</v>
      </c>
      <c r="B35" s="3">
        <v>90000</v>
      </c>
      <c r="C35" s="55" t="s">
        <v>11</v>
      </c>
      <c r="G35" s="81" t="s">
        <v>201</v>
      </c>
    </row>
    <row r="36" spans="1:7" ht="15.75" thickBot="1">
      <c r="A36" s="19" t="s">
        <v>2</v>
      </c>
      <c r="B36" s="19">
        <v>684</v>
      </c>
      <c r="C36" s="55" t="s">
        <v>36</v>
      </c>
      <c r="G36" s="81" t="s">
        <v>202</v>
      </c>
    </row>
    <row r="37" spans="1:3" ht="22.5" customHeight="1" thickBot="1">
      <c r="A37" s="19" t="s">
        <v>10</v>
      </c>
      <c r="B37" s="5">
        <v>0.15</v>
      </c>
      <c r="C37" s="55"/>
    </row>
    <row r="38" spans="1:7" ht="15">
      <c r="A38" s="19" t="s">
        <v>103</v>
      </c>
      <c r="B38" s="56">
        <f>B36*(1-B37)</f>
        <v>581.4</v>
      </c>
      <c r="C38" s="55" t="s">
        <v>36</v>
      </c>
      <c r="G38" s="98" t="s">
        <v>135</v>
      </c>
    </row>
    <row r="39" spans="1:3" ht="15">
      <c r="A39" s="19" t="s">
        <v>8</v>
      </c>
      <c r="B39" s="56">
        <f>B35/B38</f>
        <v>154.79876160990713</v>
      </c>
      <c r="C39" s="55" t="s">
        <v>35</v>
      </c>
    </row>
    <row r="40" spans="1:3" ht="15">
      <c r="A40" s="19" t="s">
        <v>3</v>
      </c>
      <c r="B40" s="14">
        <f>E11*E15</f>
        <v>11521.296</v>
      </c>
      <c r="C40" s="14" t="s">
        <v>102</v>
      </c>
    </row>
    <row r="41" spans="1:7" ht="15.75" thickBot="1">
      <c r="A41" s="19" t="s">
        <v>37</v>
      </c>
      <c r="B41" s="59">
        <f>B40/B38</f>
        <v>19.816470588235294</v>
      </c>
      <c r="C41" s="14" t="s">
        <v>104</v>
      </c>
      <c r="G41" s="89" t="s">
        <v>97</v>
      </c>
    </row>
    <row r="42" spans="1:10" ht="15">
      <c r="A42" s="125" t="s">
        <v>25</v>
      </c>
      <c r="B42" s="126"/>
      <c r="C42" s="126"/>
      <c r="D42" s="126"/>
      <c r="E42" s="126"/>
      <c r="F42" s="77">
        <f>B41*B35</f>
        <v>1783482.3529411764</v>
      </c>
      <c r="G42" s="90"/>
      <c r="H42" s="58" t="s">
        <v>1</v>
      </c>
      <c r="I42" s="58" t="s">
        <v>5</v>
      </c>
      <c r="J42" s="58" t="s">
        <v>4</v>
      </c>
    </row>
    <row r="43" spans="1:11" ht="20.25" customHeight="1">
      <c r="A43" s="46" t="s">
        <v>121</v>
      </c>
      <c r="B43" s="47" t="s">
        <v>122</v>
      </c>
      <c r="C43" s="24"/>
      <c r="D43" s="48"/>
      <c r="E43" s="60">
        <f>kost2/kost5</f>
        <v>0.07863678804855274</v>
      </c>
      <c r="F43" s="34"/>
      <c r="G43" s="86" t="s">
        <v>30</v>
      </c>
      <c r="H43" s="19">
        <v>720</v>
      </c>
      <c r="I43" s="31">
        <f>H43/C15</f>
        <v>0.3749578172455599</v>
      </c>
      <c r="J43" s="59">
        <f>B41*I43</f>
        <v>7.430340557275541</v>
      </c>
      <c r="K43" s="14"/>
    </row>
    <row r="44" spans="1:11" ht="15.75" thickBot="1">
      <c r="A44" s="61"/>
      <c r="B44" s="28" t="s">
        <v>123</v>
      </c>
      <c r="C44" s="24"/>
      <c r="D44" s="48"/>
      <c r="E44" s="45">
        <f>kost2/absolventen</f>
        <v>12515.665634674922</v>
      </c>
      <c r="F44" s="45"/>
      <c r="G44" s="86" t="s">
        <v>31</v>
      </c>
      <c r="H44" s="14">
        <f>C15-H43</f>
        <v>1200.216</v>
      </c>
      <c r="I44" s="31">
        <f>H44/C15</f>
        <v>0.6250421827544401</v>
      </c>
      <c r="J44" s="59">
        <f>B41*I44</f>
        <v>12.386130030959752</v>
      </c>
      <c r="K44" s="14"/>
    </row>
    <row r="45" spans="1:7" ht="15.75" thickBot="1">
      <c r="A45" s="127" t="s">
        <v>118</v>
      </c>
      <c r="B45" s="128"/>
      <c r="C45" s="128"/>
      <c r="D45" s="128"/>
      <c r="E45" s="128"/>
      <c r="F45" s="65">
        <f>ROUND(kost1+kost2,-5)</f>
        <v>19500000</v>
      </c>
      <c r="G45" s="87" t="s">
        <v>44</v>
      </c>
    </row>
    <row r="46" spans="1:6" ht="15">
      <c r="A46" s="8" t="s">
        <v>96</v>
      </c>
      <c r="F46" s="34"/>
    </row>
    <row r="47" spans="1:6" ht="15">
      <c r="A47" s="19" t="s">
        <v>13</v>
      </c>
      <c r="D47" s="19"/>
      <c r="F47" s="21">
        <f>F45/100</f>
        <v>195000</v>
      </c>
    </row>
    <row r="48" spans="1:7" ht="15">
      <c r="A48" s="19" t="s">
        <v>136</v>
      </c>
      <c r="B48" s="19"/>
      <c r="C48" s="19"/>
      <c r="D48" s="19"/>
      <c r="E48" s="19"/>
      <c r="F48" s="21">
        <f>kost5/B40/2</f>
        <v>984.2642702695947</v>
      </c>
      <c r="G48" s="87" t="s">
        <v>45</v>
      </c>
    </row>
    <row r="49" spans="1:6" ht="21" customHeight="1" thickBot="1">
      <c r="A49" s="23" t="s">
        <v>69</v>
      </c>
      <c r="B49" s="25"/>
      <c r="C49" s="24"/>
      <c r="D49" s="25"/>
      <c r="E49" s="25"/>
      <c r="F49" s="26"/>
    </row>
    <row r="50" spans="1:6" ht="18.75" thickBot="1">
      <c r="A50" s="8" t="s">
        <v>98</v>
      </c>
      <c r="C50" s="3">
        <v>5600</v>
      </c>
      <c r="D50" s="14" t="s">
        <v>47</v>
      </c>
      <c r="F50" s="21">
        <f>ROUND(sachkostensatz*Studierende,-4)</f>
        <v>2520000</v>
      </c>
    </row>
    <row r="51" spans="1:6" ht="15">
      <c r="A51" s="8" t="s">
        <v>99</v>
      </c>
      <c r="B51" s="62" t="s">
        <v>68</v>
      </c>
      <c r="F51" s="21">
        <f>bvakost</f>
        <v>255990.03730285718</v>
      </c>
    </row>
    <row r="52" spans="1:6" ht="15">
      <c r="A52" s="8" t="s">
        <v>100</v>
      </c>
      <c r="C52" s="62" t="s">
        <v>68</v>
      </c>
      <c r="F52" s="21">
        <f>Leistungsnachweise</f>
        <v>133606.09987885316</v>
      </c>
    </row>
    <row r="53" spans="1:7" ht="15.75" thickBot="1">
      <c r="A53" s="8" t="s">
        <v>101</v>
      </c>
      <c r="B53" s="62" t="s">
        <v>68</v>
      </c>
      <c r="F53" s="21">
        <f>ROUND(dakosten,-4)</f>
        <v>270000</v>
      </c>
      <c r="G53" s="91">
        <f>F50/kost5</f>
        <v>0.1111111111111111</v>
      </c>
    </row>
    <row r="54" spans="1:7" ht="15.75" thickBot="1">
      <c r="A54" s="123" t="s">
        <v>120</v>
      </c>
      <c r="B54" s="124"/>
      <c r="C54" s="124"/>
      <c r="D54" s="124"/>
      <c r="E54" s="124"/>
      <c r="F54" s="65">
        <f>SUM(F49:F53)</f>
        <v>3179596.1371817105</v>
      </c>
      <c r="G54" s="91">
        <f>F51/kost5</f>
        <v>0.011287038681783827</v>
      </c>
    </row>
    <row r="55" spans="1:7" ht="15">
      <c r="A55" s="63" t="s">
        <v>121</v>
      </c>
      <c r="B55" s="64" t="s">
        <v>122</v>
      </c>
      <c r="D55" s="48"/>
      <c r="E55" s="60">
        <f>kost4/kost5</f>
        <v>0.1401938332090701</v>
      </c>
      <c r="G55" s="91">
        <f>F52/kost5</f>
        <v>0.005890921511413278</v>
      </c>
    </row>
    <row r="56" spans="2:7" ht="15.75" thickBot="1">
      <c r="B56" s="19" t="s">
        <v>123</v>
      </c>
      <c r="C56" s="19"/>
      <c r="D56" s="19"/>
      <c r="E56" s="21">
        <f>kost4/absolventen</f>
        <v>22312.955348643583</v>
      </c>
      <c r="G56" s="91">
        <f>F53/kost5</f>
        <v>0.011904761904761904</v>
      </c>
    </row>
    <row r="57" spans="1:7" ht="15.75" thickBot="1">
      <c r="A57" s="123" t="s">
        <v>70</v>
      </c>
      <c r="B57" s="124"/>
      <c r="C57" s="124"/>
      <c r="D57" s="124"/>
      <c r="E57" s="124"/>
      <c r="F57" s="65">
        <f>ROUND(kost3+kost4,-4)</f>
        <v>22680000</v>
      </c>
      <c r="G57" s="87" t="s">
        <v>46</v>
      </c>
    </row>
    <row r="58" spans="1:2" ht="15">
      <c r="A58" s="8" t="s">
        <v>184</v>
      </c>
      <c r="B58" s="19"/>
    </row>
    <row r="59" spans="1:4" ht="15">
      <c r="A59" s="8"/>
      <c r="B59" s="58" t="s">
        <v>185</v>
      </c>
      <c r="C59" s="66" t="s">
        <v>186</v>
      </c>
      <c r="D59" s="66" t="s">
        <v>140</v>
      </c>
    </row>
    <row r="60" spans="1:7" ht="15.75" customHeight="1" thickBot="1">
      <c r="A60" s="19" t="s">
        <v>187</v>
      </c>
      <c r="B60" s="14">
        <v>18</v>
      </c>
      <c r="C60" s="14">
        <f>Wiederholerkosten</f>
        <v>19146.74325</v>
      </c>
      <c r="D60" s="21">
        <f>B60*Wiederholerkosten</f>
        <v>344641.3785</v>
      </c>
      <c r="G60" s="87" t="s">
        <v>119</v>
      </c>
    </row>
    <row r="61" spans="1:5" ht="22.5" customHeight="1" thickBot="1">
      <c r="A61" s="19" t="s">
        <v>188</v>
      </c>
      <c r="B61" s="3">
        <v>27</v>
      </c>
      <c r="C61" s="14">
        <f>Wiederholerkosten</f>
        <v>19146.74325</v>
      </c>
      <c r="D61" s="21">
        <f>B61*Wiederholerkosten</f>
        <v>516962.06775</v>
      </c>
      <c r="E61" s="19"/>
    </row>
    <row r="62" spans="1:6" ht="22.5" customHeight="1">
      <c r="A62" s="28"/>
      <c r="B62" s="24"/>
      <c r="C62" s="24"/>
      <c r="D62" s="24"/>
      <c r="E62" s="24"/>
      <c r="F62" s="28"/>
    </row>
    <row r="65" spans="1:10" s="28" customFormat="1" ht="15">
      <c r="A65" s="19"/>
      <c r="B65" s="14"/>
      <c r="C65" s="14"/>
      <c r="D65" s="14"/>
      <c r="E65" s="14"/>
      <c r="F65" s="19"/>
      <c r="G65" s="82"/>
      <c r="H65" s="24"/>
      <c r="I65" s="24"/>
      <c r="J65" s="24"/>
    </row>
    <row r="100" ht="15.75" thickBot="1"/>
    <row r="101" spans="1:6" ht="15.75" thickBot="1">
      <c r="A101" s="120" t="s">
        <v>105</v>
      </c>
      <c r="B101" s="121"/>
      <c r="C101" s="121"/>
      <c r="D101" s="121"/>
      <c r="E101" s="121"/>
      <c r="F101" s="122"/>
    </row>
    <row r="102" spans="1:4" ht="15">
      <c r="A102" s="8" t="s">
        <v>213</v>
      </c>
      <c r="B102" s="19"/>
      <c r="C102" s="19"/>
      <c r="D102" s="19"/>
    </row>
    <row r="103" spans="1:6" ht="15">
      <c r="A103" s="26" t="s">
        <v>53</v>
      </c>
      <c r="B103" s="66" t="s">
        <v>51</v>
      </c>
      <c r="C103" s="66" t="s">
        <v>52</v>
      </c>
      <c r="D103" s="58" t="s">
        <v>14</v>
      </c>
      <c r="E103" s="66" t="s">
        <v>76</v>
      </c>
      <c r="F103" s="58" t="s">
        <v>140</v>
      </c>
    </row>
    <row r="104" spans="1:3" ht="18.75" thickBot="1">
      <c r="A104" s="19" t="s">
        <v>56</v>
      </c>
      <c r="B104" s="19"/>
      <c r="C104" s="67">
        <v>849.17</v>
      </c>
    </row>
    <row r="105" spans="1:4" ht="15.75" thickBot="1">
      <c r="A105" s="19" t="s">
        <v>50</v>
      </c>
      <c r="C105" s="3">
        <v>0</v>
      </c>
      <c r="D105" s="68">
        <f>C104+C105</f>
        <v>849.17</v>
      </c>
    </row>
    <row r="106" spans="1:7" ht="15">
      <c r="A106" s="19" t="s">
        <v>54</v>
      </c>
      <c r="B106" s="14">
        <v>13</v>
      </c>
      <c r="C106" s="19"/>
      <c r="D106" s="68">
        <f>D105*B106</f>
        <v>11039.21</v>
      </c>
      <c r="G106" s="92"/>
    </row>
    <row r="107" spans="1:7" ht="18">
      <c r="A107" s="69" t="s">
        <v>57</v>
      </c>
      <c r="B107" s="69">
        <v>0.3</v>
      </c>
      <c r="C107" s="56">
        <f>D106*B107</f>
        <v>3311.7629999999995</v>
      </c>
      <c r="D107" s="68">
        <f>D106+C107</f>
        <v>14350.972999999998</v>
      </c>
      <c r="G107" s="81"/>
    </row>
    <row r="108" spans="1:7" ht="18">
      <c r="A108" s="19" t="s">
        <v>58</v>
      </c>
      <c r="B108" s="19"/>
      <c r="C108" s="70">
        <v>2109</v>
      </c>
      <c r="D108" s="68">
        <f>D107+C108</f>
        <v>16459.972999999998</v>
      </c>
      <c r="G108" s="81"/>
    </row>
    <row r="109" spans="1:5" ht="18">
      <c r="A109" s="19" t="s">
        <v>59</v>
      </c>
      <c r="B109" s="69"/>
      <c r="C109" s="67">
        <v>9127</v>
      </c>
      <c r="E109" s="71">
        <f>D108+C109</f>
        <v>25586.972999999998</v>
      </c>
    </row>
    <row r="110" spans="1:6" ht="15">
      <c r="A110" s="19" t="s">
        <v>125</v>
      </c>
      <c r="B110" s="35">
        <f>Jahre</f>
        <v>3</v>
      </c>
      <c r="C110" s="19"/>
      <c r="F110" s="71">
        <f>E109*B110</f>
        <v>76760.919</v>
      </c>
    </row>
    <row r="111" spans="2:6" ht="15">
      <c r="B111" s="35"/>
      <c r="C111" s="19"/>
      <c r="F111" s="71"/>
    </row>
    <row r="112" spans="1:7" ht="28.5">
      <c r="A112" s="109" t="s">
        <v>153</v>
      </c>
      <c r="B112" s="68"/>
      <c r="C112" s="68">
        <v>10260</v>
      </c>
      <c r="D112" s="68"/>
      <c r="E112" s="68"/>
      <c r="F112" s="68"/>
      <c r="G112" s="93" t="s">
        <v>55</v>
      </c>
    </row>
    <row r="113" spans="2:7" ht="15">
      <c r="B113" s="68"/>
      <c r="C113" s="68"/>
      <c r="D113" s="68"/>
      <c r="E113" s="68"/>
      <c r="F113" s="68"/>
      <c r="G113" s="93" t="s">
        <v>126</v>
      </c>
    </row>
    <row r="114" spans="1:7" ht="15">
      <c r="A114" s="27"/>
      <c r="B114" s="68"/>
      <c r="C114" s="68"/>
      <c r="D114" s="68"/>
      <c r="E114" s="68"/>
      <c r="F114" s="68"/>
      <c r="G114" s="81"/>
    </row>
    <row r="115" spans="1:7" ht="15">
      <c r="A115" s="72" t="s">
        <v>110</v>
      </c>
      <c r="B115" s="25"/>
      <c r="C115" s="25"/>
      <c r="D115" s="25"/>
      <c r="E115" s="25"/>
      <c r="F115" s="26"/>
      <c r="G115" s="81"/>
    </row>
    <row r="116" spans="1:7" ht="15.75" thickBot="1">
      <c r="A116" s="71" t="s">
        <v>111</v>
      </c>
      <c r="B116" s="24"/>
      <c r="C116" s="24"/>
      <c r="D116" s="24"/>
      <c r="E116" s="24"/>
      <c r="F116" s="28"/>
      <c r="G116" s="81"/>
    </row>
    <row r="117" spans="1:8" ht="15.75" thickBot="1">
      <c r="A117" s="19" t="s">
        <v>62</v>
      </c>
      <c r="B117" s="3">
        <v>73442</v>
      </c>
      <c r="C117" s="55" t="s">
        <v>11</v>
      </c>
      <c r="D117" s="14" t="s">
        <v>63</v>
      </c>
      <c r="F117" s="28"/>
      <c r="G117" s="86"/>
      <c r="H117" s="19"/>
    </row>
    <row r="118" spans="1:10" ht="15.75" thickBot="1">
      <c r="A118" s="19" t="s">
        <v>64</v>
      </c>
      <c r="B118" s="14">
        <v>1500</v>
      </c>
      <c r="C118" s="55" t="s">
        <v>36</v>
      </c>
      <c r="F118" s="28"/>
      <c r="G118" s="86"/>
      <c r="H118" s="19"/>
      <c r="I118" s="19"/>
      <c r="J118" s="19"/>
    </row>
    <row r="119" spans="1:10" ht="15.75" thickBot="1">
      <c r="A119" s="19" t="s">
        <v>65</v>
      </c>
      <c r="B119" s="5">
        <v>0.3</v>
      </c>
      <c r="C119" s="55" t="s">
        <v>66</v>
      </c>
      <c r="F119" s="28"/>
      <c r="G119" s="86"/>
      <c r="H119" s="19"/>
      <c r="I119" s="19"/>
      <c r="J119" s="19"/>
    </row>
    <row r="120" spans="1:10" ht="15">
      <c r="A120" s="19" t="s">
        <v>28</v>
      </c>
      <c r="B120" s="14">
        <f>B118*(1-B119)</f>
        <v>1050</v>
      </c>
      <c r="C120" s="55" t="s">
        <v>12</v>
      </c>
      <c r="F120" s="28"/>
      <c r="G120" s="86"/>
      <c r="H120" s="19"/>
      <c r="I120" s="19"/>
      <c r="J120" s="19"/>
    </row>
    <row r="121" spans="1:10" ht="15">
      <c r="A121" s="57" t="s">
        <v>24</v>
      </c>
      <c r="B121" s="73">
        <f>B117/B120</f>
        <v>69.9447619047619</v>
      </c>
      <c r="C121" s="55" t="s">
        <v>35</v>
      </c>
      <c r="G121" s="86"/>
      <c r="H121" s="19"/>
      <c r="I121" s="19"/>
      <c r="J121" s="19"/>
    </row>
    <row r="122" spans="1:10" ht="15">
      <c r="A122" s="19" t="s">
        <v>18</v>
      </c>
      <c r="B122" s="14">
        <f>kurse</f>
        <v>18</v>
      </c>
      <c r="G122" s="86"/>
      <c r="H122" s="19"/>
      <c r="I122" s="19"/>
      <c r="J122" s="19"/>
    </row>
    <row r="123" spans="1:10" ht="15">
      <c r="A123" s="27" t="s">
        <v>19</v>
      </c>
      <c r="B123" s="14">
        <f>JahresstundenBVA</f>
        <v>119.92800000000004</v>
      </c>
      <c r="G123" s="86"/>
      <c r="H123" s="19"/>
      <c r="I123" s="19"/>
      <c r="J123" s="19"/>
    </row>
    <row r="124" spans="1:10" ht="15">
      <c r="A124" s="27" t="s">
        <v>67</v>
      </c>
      <c r="C124" s="14">
        <f>B123*B122*LehrkraftStunde</f>
        <v>150990.03730285718</v>
      </c>
      <c r="G124" s="86"/>
      <c r="H124" s="19"/>
      <c r="I124" s="19"/>
      <c r="J124" s="19"/>
    </row>
    <row r="125" spans="1:10" ht="15">
      <c r="A125" s="27"/>
      <c r="G125" s="86"/>
      <c r="H125" s="19"/>
      <c r="I125" s="19"/>
      <c r="J125" s="19"/>
    </row>
    <row r="126" spans="1:10" ht="15">
      <c r="A126" s="13" t="s">
        <v>23</v>
      </c>
      <c r="G126" s="86"/>
      <c r="H126" s="19"/>
      <c r="I126" s="19"/>
      <c r="J126" s="19"/>
    </row>
    <row r="127" spans="1:10" ht="15">
      <c r="A127" s="27"/>
      <c r="G127" s="86"/>
      <c r="H127" s="19"/>
      <c r="I127" s="19"/>
      <c r="J127" s="19"/>
    </row>
    <row r="128" spans="1:10" ht="15.75" thickBot="1">
      <c r="A128" s="57" t="s">
        <v>112</v>
      </c>
      <c r="B128" s="19"/>
      <c r="C128" s="19"/>
      <c r="D128" s="19"/>
      <c r="G128" s="86"/>
      <c r="H128" s="19"/>
      <c r="I128" s="19"/>
      <c r="J128" s="19"/>
    </row>
    <row r="129" spans="1:10" ht="15.75" thickBot="1">
      <c r="A129" s="19" t="s">
        <v>20</v>
      </c>
      <c r="B129" s="4">
        <v>1.5</v>
      </c>
      <c r="D129" s="13" t="s">
        <v>61</v>
      </c>
      <c r="G129" s="86"/>
      <c r="H129" s="19"/>
      <c r="I129" s="19"/>
      <c r="J129" s="19"/>
    </row>
    <row r="130" spans="1:4" ht="15.75" thickBot="1">
      <c r="A130" s="19" t="s">
        <v>21</v>
      </c>
      <c r="B130" s="3">
        <v>70000</v>
      </c>
      <c r="D130" s="13" t="s">
        <v>61</v>
      </c>
    </row>
    <row r="131" spans="1:3" ht="15">
      <c r="A131" s="19" t="s">
        <v>60</v>
      </c>
      <c r="C131" s="74">
        <f>B130*B129</f>
        <v>105000</v>
      </c>
    </row>
    <row r="132" spans="1:3" ht="15">
      <c r="A132" s="75" t="s">
        <v>14</v>
      </c>
      <c r="B132" s="27"/>
      <c r="C132" s="21">
        <f>SUM(C124:C131)</f>
        <v>255990.03730285718</v>
      </c>
    </row>
    <row r="133" spans="1:3" ht="15">
      <c r="A133" s="75"/>
      <c r="B133" s="27"/>
      <c r="C133" s="21"/>
    </row>
    <row r="134" spans="1:3" ht="15">
      <c r="A134" s="8" t="s">
        <v>113</v>
      </c>
      <c r="B134" s="27"/>
      <c r="C134" s="21"/>
    </row>
    <row r="135" spans="1:3" ht="15.75" thickBot="1">
      <c r="A135" s="76" t="s">
        <v>114</v>
      </c>
      <c r="B135" s="27"/>
      <c r="C135" s="21"/>
    </row>
    <row r="136" spans="1:4" ht="15.75" thickBot="1">
      <c r="A136" s="19" t="s">
        <v>71</v>
      </c>
      <c r="B136" s="4">
        <v>1</v>
      </c>
      <c r="D136" s="13" t="s">
        <v>61</v>
      </c>
    </row>
    <row r="137" spans="1:3" ht="15.75" thickBot="1">
      <c r="A137" s="19" t="s">
        <v>21</v>
      </c>
      <c r="B137" s="3">
        <v>70000</v>
      </c>
      <c r="C137" s="21"/>
    </row>
    <row r="138" spans="1:3" ht="15">
      <c r="A138" s="19" t="s">
        <v>60</v>
      </c>
      <c r="C138" s="68">
        <f>B137*B136</f>
        <v>70000</v>
      </c>
    </row>
    <row r="139" spans="1:2" ht="15">
      <c r="A139" s="19" t="s">
        <v>73</v>
      </c>
      <c r="B139" s="14">
        <f>Anfänger+Wiederholer</f>
        <v>172.5</v>
      </c>
    </row>
    <row r="140" ht="15.75" thickBot="1">
      <c r="A140" s="19" t="s">
        <v>81</v>
      </c>
    </row>
    <row r="141" spans="1:3" ht="15.75" thickBot="1">
      <c r="A141" s="19" t="s">
        <v>72</v>
      </c>
      <c r="B141" s="3"/>
      <c r="C141" s="21"/>
    </row>
    <row r="142" spans="1:3" ht="15">
      <c r="A142" s="76" t="s">
        <v>115</v>
      </c>
      <c r="B142" s="27"/>
      <c r="C142" s="21"/>
    </row>
    <row r="143" spans="1:4" ht="15">
      <c r="A143" s="19" t="s">
        <v>74</v>
      </c>
      <c r="B143" s="13" t="s">
        <v>82</v>
      </c>
      <c r="C143" s="27" t="s">
        <v>76</v>
      </c>
      <c r="D143" s="14" t="s">
        <v>77</v>
      </c>
    </row>
    <row r="144" spans="2:5" ht="15.75" thickBot="1">
      <c r="B144" s="13">
        <v>12</v>
      </c>
      <c r="C144" s="68">
        <f>B144/Jahre</f>
        <v>4</v>
      </c>
      <c r="D144" s="14">
        <f>C144*(Studierende+Wiederholer)</f>
        <v>1890</v>
      </c>
      <c r="E144" s="14" t="s">
        <v>116</v>
      </c>
    </row>
    <row r="145" spans="1:4" ht="15.75" thickBot="1">
      <c r="A145" s="19" t="s">
        <v>75</v>
      </c>
      <c r="B145" s="7">
        <f>0.5/2.3</f>
        <v>0.2173913043478261</v>
      </c>
      <c r="C145" s="21"/>
      <c r="D145" s="14">
        <f>B145*D144</f>
        <v>410.86956521739137</v>
      </c>
    </row>
    <row r="146" spans="1:3" ht="15">
      <c r="A146" s="19" t="s">
        <v>78</v>
      </c>
      <c r="B146" s="19"/>
      <c r="C146" s="25">
        <f>D145*DozStd</f>
        <v>63602.09987885316</v>
      </c>
    </row>
    <row r="147" spans="1:3" ht="15">
      <c r="A147" s="75" t="s">
        <v>14</v>
      </c>
      <c r="B147" s="27"/>
      <c r="C147" s="21">
        <f>SUM(C136:C146)</f>
        <v>133606.09987885316</v>
      </c>
    </row>
    <row r="148" spans="2:7" ht="15">
      <c r="B148" s="19"/>
      <c r="C148" s="19"/>
      <c r="D148" s="19"/>
      <c r="G148" s="81" t="s">
        <v>83</v>
      </c>
    </row>
    <row r="149" spans="1:5" ht="15">
      <c r="A149" s="8" t="s">
        <v>117</v>
      </c>
      <c r="E149" s="19"/>
    </row>
    <row r="150" spans="1:5" ht="15.75" thickBot="1">
      <c r="A150" s="21" t="s">
        <v>15</v>
      </c>
      <c r="E150" s="19"/>
    </row>
    <row r="151" spans="1:5" ht="15.75" thickBot="1">
      <c r="A151" s="19" t="s">
        <v>169</v>
      </c>
      <c r="B151" s="3">
        <v>10</v>
      </c>
      <c r="D151" s="19" t="s">
        <v>174</v>
      </c>
      <c r="E151" s="19"/>
    </row>
    <row r="152" spans="1:8" ht="15">
      <c r="A152" s="19" t="s">
        <v>170</v>
      </c>
      <c r="B152" s="14">
        <f>B151*DozStd</f>
        <v>1547.9876160990714</v>
      </c>
      <c r="E152" s="19"/>
      <c r="G152" s="86"/>
      <c r="H152" s="19"/>
    </row>
    <row r="153" spans="1:8" ht="15">
      <c r="A153" s="19" t="s">
        <v>171</v>
      </c>
      <c r="C153" s="14">
        <f>B152*Anfänger</f>
        <v>232198.14241486072</v>
      </c>
      <c r="E153" s="19"/>
      <c r="G153" s="86"/>
      <c r="H153" s="19"/>
    </row>
    <row r="154" spans="1:8" ht="15.75" thickBot="1">
      <c r="A154" s="8" t="s">
        <v>172</v>
      </c>
      <c r="E154" s="19"/>
      <c r="G154" s="86"/>
      <c r="H154" s="19"/>
    </row>
    <row r="155" spans="1:8" ht="15.75" thickBot="1">
      <c r="A155" s="19" t="s">
        <v>173</v>
      </c>
      <c r="B155" s="3">
        <v>80</v>
      </c>
      <c r="D155" s="19" t="s">
        <v>175</v>
      </c>
      <c r="E155" s="19"/>
      <c r="G155" s="86"/>
      <c r="H155" s="19"/>
    </row>
    <row r="156" spans="1:8" ht="15">
      <c r="A156" s="26" t="s">
        <v>171</v>
      </c>
      <c r="B156" s="25"/>
      <c r="C156" s="25">
        <f>B155*Anfänger</f>
        <v>12000</v>
      </c>
      <c r="E156" s="19"/>
      <c r="G156" s="86"/>
      <c r="H156" s="19"/>
    </row>
    <row r="157" spans="1:8" ht="15">
      <c r="A157" s="37" t="s">
        <v>22</v>
      </c>
      <c r="C157" s="14">
        <f>SUM(C151:C156)</f>
        <v>244198.14241486072</v>
      </c>
      <c r="E157" s="19"/>
      <c r="G157" s="86"/>
      <c r="H157" s="19"/>
    </row>
    <row r="158" spans="1:8" ht="15">
      <c r="A158" s="19" t="s">
        <v>16</v>
      </c>
      <c r="B158" s="31">
        <v>0.1</v>
      </c>
      <c r="C158" s="14">
        <f>C157*B158</f>
        <v>24419.814241486074</v>
      </c>
      <c r="D158" s="14" t="s">
        <v>17</v>
      </c>
      <c r="E158" s="19"/>
      <c r="G158" s="86"/>
      <c r="H158" s="19"/>
    </row>
    <row r="159" spans="1:8" ht="15">
      <c r="A159" s="75" t="s">
        <v>14</v>
      </c>
      <c r="B159" s="21"/>
      <c r="C159" s="21">
        <f>SUM(C157:C158)</f>
        <v>268617.9566563468</v>
      </c>
      <c r="E159" s="19"/>
      <c r="G159" s="86"/>
      <c r="H159" s="19"/>
    </row>
    <row r="160" spans="1:8" ht="15">
      <c r="A160" s="37" t="s">
        <v>183</v>
      </c>
      <c r="B160" s="21"/>
      <c r="C160" s="14">
        <f>dakosten/Anfänger</f>
        <v>1790.7863777089785</v>
      </c>
      <c r="E160" s="19"/>
      <c r="G160" s="86"/>
      <c r="H160" s="19"/>
    </row>
    <row r="161" spans="1:8" ht="15">
      <c r="A161" s="8"/>
      <c r="E161" s="19"/>
      <c r="G161" s="86"/>
      <c r="H161" s="19"/>
    </row>
    <row r="162" spans="1:8" ht="15">
      <c r="A162" s="8" t="s">
        <v>176</v>
      </c>
      <c r="E162" s="19"/>
      <c r="G162" s="86"/>
      <c r="H162" s="19"/>
    </row>
    <row r="163" spans="1:8" ht="15">
      <c r="A163" s="64" t="s">
        <v>177</v>
      </c>
      <c r="B163" s="21"/>
      <c r="E163" s="19"/>
      <c r="G163" s="86"/>
      <c r="H163" s="19"/>
    </row>
    <row r="164" spans="1:8" ht="15">
      <c r="A164" s="64" t="s">
        <v>166</v>
      </c>
      <c r="B164" s="21"/>
      <c r="C164" s="14">
        <f>JahreskostenEinsteiger/6</f>
        <v>4264.4955</v>
      </c>
      <c r="E164" s="19"/>
      <c r="G164" s="86"/>
      <c r="H164" s="19"/>
    </row>
    <row r="165" spans="1:8" ht="15">
      <c r="A165" s="64" t="s">
        <v>167</v>
      </c>
      <c r="B165" s="21"/>
      <c r="C165" s="14">
        <f>JahreskostenAufsteiger/6</f>
        <v>8500</v>
      </c>
      <c r="E165" s="19"/>
      <c r="G165" s="86"/>
      <c r="H165" s="19"/>
    </row>
    <row r="166" spans="1:8" ht="15">
      <c r="A166" s="64" t="s">
        <v>178</v>
      </c>
      <c r="B166" s="130" t="s">
        <v>179</v>
      </c>
      <c r="C166" s="14" t="s">
        <v>180</v>
      </c>
      <c r="D166" s="130" t="s">
        <v>181</v>
      </c>
      <c r="E166" s="19"/>
      <c r="G166" s="86"/>
      <c r="H166" s="19"/>
    </row>
    <row r="167" spans="1:8" ht="15">
      <c r="A167" s="64" t="s">
        <v>166</v>
      </c>
      <c r="B167" s="14">
        <f>C164+C160</f>
        <v>6055.281877708979</v>
      </c>
      <c r="C167" s="14">
        <f>ROUND(B167,-2)</f>
        <v>6100</v>
      </c>
      <c r="D167" s="14">
        <f>B167*Anfänger*(1-Aufsteigerquote)</f>
        <v>454146.14082817343</v>
      </c>
      <c r="E167" s="19"/>
      <c r="G167" s="86"/>
      <c r="H167" s="19"/>
    </row>
    <row r="168" spans="1:8" ht="15">
      <c r="A168" s="64" t="s">
        <v>167</v>
      </c>
      <c r="B168" s="14">
        <f>C165+C160</f>
        <v>10290.786377708979</v>
      </c>
      <c r="C168" s="14">
        <f>ROUND(B168,-2)</f>
        <v>10300</v>
      </c>
      <c r="D168" s="14">
        <f>B168*Anfänger*Aufsteigerquote</f>
        <v>771808.9783281734</v>
      </c>
      <c r="E168" s="19"/>
      <c r="G168" s="86"/>
      <c r="H168" s="19"/>
    </row>
    <row r="169" spans="1:8" ht="15">
      <c r="A169" s="37" t="s">
        <v>182</v>
      </c>
      <c r="B169" s="21"/>
      <c r="D169" s="21">
        <f>SUM(D167:D168)</f>
        <v>1225955.119156347</v>
      </c>
      <c r="E169" s="19"/>
      <c r="G169" s="86"/>
      <c r="H169" s="19"/>
    </row>
    <row r="170" spans="1:8" ht="15">
      <c r="A170" s="75"/>
      <c r="B170" s="21"/>
      <c r="C170" s="21"/>
      <c r="E170" s="19"/>
      <c r="G170" s="86"/>
      <c r="H170" s="19"/>
    </row>
    <row r="171" spans="5:8" ht="15">
      <c r="E171" s="19"/>
      <c r="G171" s="86"/>
      <c r="H171" s="19"/>
    </row>
    <row r="172" spans="1:8" ht="15">
      <c r="A172" s="8"/>
      <c r="B172" s="13"/>
      <c r="C172" s="19"/>
      <c r="G172" s="86"/>
      <c r="H172" s="19"/>
    </row>
    <row r="173" spans="1:8" ht="15">
      <c r="A173" s="13"/>
      <c r="C173" s="19"/>
      <c r="D173" s="68"/>
      <c r="G173" s="86"/>
      <c r="H173" s="19"/>
    </row>
    <row r="174" spans="2:8" ht="15">
      <c r="B174" s="19"/>
      <c r="C174" s="19"/>
      <c r="D174" s="68"/>
      <c r="G174" s="86"/>
      <c r="H174" s="19"/>
    </row>
    <row r="183" spans="2:4" ht="15">
      <c r="B183" s="19"/>
      <c r="C183" s="19"/>
      <c r="D183" s="19"/>
    </row>
    <row r="184" spans="2:4" ht="15">
      <c r="B184" s="19"/>
      <c r="C184" s="19"/>
      <c r="D184" s="19"/>
    </row>
  </sheetData>
  <sheetProtection password="E152" sheet="1" objects="1" scenarios="1"/>
  <mergeCells count="2">
    <mergeCell ref="H8:J8"/>
    <mergeCell ref="G7:L7"/>
  </mergeCells>
  <hyperlinks>
    <hyperlink ref="A19" location="GesamtkostenEinsteiger" display="Einsteiger 3)"/>
    <hyperlink ref="B53" location="dakosten" display="(Berechnung)"/>
    <hyperlink ref="B51" location="bvakost" display="(Berechnung)"/>
    <hyperlink ref="C52" location="Leistungsnachweise" display="(Berechnung)"/>
    <hyperlink ref="A1" r:id="rId1" display="http://www.verwaltungsmanagement.info/studium/reform/aiv-kosten.xls"/>
    <hyperlink ref="A2" r:id="rId2" display="http://www.verwaltungsmanagement.info/studium/reform/aiv-kosten.htm"/>
    <hyperlink ref="B4" location="Ergebnisse!A1" display="Ergebnisse der Berechnung"/>
  </hyperlinks>
  <printOptions horizontalCentered="1"/>
  <pageMargins left="0.7874015748031497" right="0.3937007874015748" top="0.984251968503937" bottom="0.984251968503937" header="0.5905511811023623" footer="0.5118110236220472"/>
  <pageSetup horizontalDpi="600" verticalDpi="600" orientation="portrait" paperSize="9" scale="93" r:id="rId4"/>
  <headerFooter alignWithMargins="0">
    <oddHeader>&amp;L&amp;"Arial,Fett"&amp;14Bildungsinvestionen in die AIV-Ausbildung pro Jahr&amp;R&amp;12Seite &amp;P von &amp;N</oddHeader>
    <oddFooter>&amp;L&amp;11&amp;F&amp;C&amp;11Version 1.2
© Krems 2004-05&amp;R&amp;11&amp;D - &amp;T</oddFooter>
  </headerFooter>
  <rowBreaks count="3" manualBreakCount="3">
    <brk id="48" max="5" man="1"/>
    <brk id="100" max="5" man="1"/>
    <brk id="148" max="5" man="1"/>
  </rowBreaks>
  <drawing r:id="rId3"/>
</worksheet>
</file>

<file path=xl/worksheets/sheet3.xml><?xml version="1.0" encoding="utf-8"?>
<worksheet xmlns="http://schemas.openxmlformats.org/spreadsheetml/2006/main" xmlns:r="http://schemas.openxmlformats.org/officeDocument/2006/relationships">
  <dimension ref="A1:G202"/>
  <sheetViews>
    <sheetView workbookViewId="0" topLeftCell="A1">
      <selection activeCell="C10" sqref="C10"/>
    </sheetView>
  </sheetViews>
  <sheetFormatPr defaultColWidth="11.421875" defaultRowHeight="12.75"/>
  <cols>
    <col min="1" max="1" width="26.7109375" style="19" customWidth="1"/>
    <col min="2" max="2" width="11.421875" style="14" customWidth="1"/>
    <col min="3" max="3" width="12.7109375" style="14" customWidth="1"/>
    <col min="4" max="4" width="12.7109375" style="117" customWidth="1"/>
    <col min="5" max="5" width="12.7109375" style="14" customWidth="1"/>
    <col min="6" max="6" width="12.7109375" style="19" customWidth="1"/>
    <col min="7" max="16384" width="11.421875" style="19" customWidth="1"/>
  </cols>
  <sheetData>
    <row r="1" spans="1:5" ht="15">
      <c r="A1" s="8" t="s">
        <v>162</v>
      </c>
      <c r="B1" s="19"/>
      <c r="C1" s="19"/>
      <c r="D1" s="61"/>
      <c r="E1" s="16"/>
    </row>
    <row r="2" spans="1:5" ht="15">
      <c r="A2" s="145" t="str">
        <f>Berechnung!A1</f>
        <v>http://www.verwaltungsmanagement.info/studium/reform/aiv-kosten.xls</v>
      </c>
      <c r="B2" s="15"/>
      <c r="C2" s="16"/>
      <c r="D2" s="114"/>
      <c r="E2" s="16"/>
    </row>
    <row r="3" spans="1:5" ht="15.75" thickBot="1">
      <c r="A3" s="115" t="s">
        <v>161</v>
      </c>
      <c r="B3" s="19"/>
      <c r="C3" s="118" t="s">
        <v>164</v>
      </c>
      <c r="D3" s="118" t="s">
        <v>165</v>
      </c>
      <c r="E3" s="16"/>
    </row>
    <row r="4" spans="1:7" ht="15">
      <c r="A4" s="116" t="str">
        <f>Berechnung!A7</f>
        <v>Studienanfänger p.a.</v>
      </c>
      <c r="B4" s="19"/>
      <c r="C4" s="94">
        <v>150</v>
      </c>
      <c r="D4" s="163"/>
      <c r="E4" s="164"/>
      <c r="F4" s="163"/>
      <c r="G4" s="163"/>
    </row>
    <row r="5" spans="1:7" ht="15">
      <c r="A5" s="116" t="str">
        <f>Berechnung!A8</f>
        <v>Studiendauer (Jahre)</v>
      </c>
      <c r="B5" s="19"/>
      <c r="C5" s="95">
        <v>3</v>
      </c>
      <c r="D5" s="163"/>
      <c r="E5" s="164"/>
      <c r="F5" s="163"/>
      <c r="G5" s="163"/>
    </row>
    <row r="6" spans="1:7" ht="15">
      <c r="A6" s="116" t="str">
        <f>Berechnung!A9</f>
        <v>Aufsteiger-Quote</v>
      </c>
      <c r="B6" s="19"/>
      <c r="C6" s="96">
        <v>0.5</v>
      </c>
      <c r="D6" s="163"/>
      <c r="E6" s="164"/>
      <c r="F6" s="163"/>
      <c r="G6" s="163"/>
    </row>
    <row r="7" spans="1:7" ht="15">
      <c r="A7" s="116"/>
      <c r="B7" s="19"/>
      <c r="C7" s="97"/>
      <c r="D7" s="163"/>
      <c r="E7" s="164"/>
      <c r="F7" s="163"/>
      <c r="G7" s="163"/>
    </row>
    <row r="8" spans="1:7" ht="15">
      <c r="A8" s="116" t="str">
        <f>Berechnung!A11</f>
        <v>Kursgröße (ohne Wiederh.)</v>
      </c>
      <c r="B8" s="19"/>
      <c r="C8" s="95">
        <v>25</v>
      </c>
      <c r="D8" s="163"/>
      <c r="E8" s="164"/>
      <c r="F8" s="163"/>
      <c r="G8" s="163"/>
    </row>
    <row r="9" spans="1:7" ht="15">
      <c r="A9" s="116" t="str">
        <f>Berechnung!A12</f>
        <v>Wiederholerquote</v>
      </c>
      <c r="B9" s="19"/>
      <c r="C9" s="96">
        <v>0.3</v>
      </c>
      <c r="D9" s="163"/>
      <c r="E9" s="164"/>
      <c r="F9" s="163"/>
      <c r="G9" s="163"/>
    </row>
    <row r="10" spans="1:7" ht="15.75" thickBot="1">
      <c r="A10" s="116" t="str">
        <f>Berechnung!A13</f>
        <v>Misserfolgsquote LBP 1a)</v>
      </c>
      <c r="B10" s="19"/>
      <c r="C10" s="1">
        <v>0.05</v>
      </c>
      <c r="D10" s="163"/>
      <c r="E10" s="164"/>
      <c r="F10" s="163"/>
      <c r="G10" s="163"/>
    </row>
    <row r="11" spans="1:5" ht="15">
      <c r="A11" s="68"/>
      <c r="B11" s="19"/>
      <c r="C11" s="19"/>
      <c r="D11" s="19"/>
      <c r="E11" s="16"/>
    </row>
    <row r="12" spans="1:5" ht="15">
      <c r="A12" s="68"/>
      <c r="B12" s="19"/>
      <c r="C12" s="19"/>
      <c r="D12" s="19"/>
      <c r="E12" s="16"/>
    </row>
    <row r="13" spans="1:5" s="28" customFormat="1" ht="15">
      <c r="A13" s="147"/>
      <c r="E13" s="134"/>
    </row>
    <row r="14" spans="1:5" s="28" customFormat="1" ht="15">
      <c r="A14" s="147"/>
      <c r="C14" s="148"/>
      <c r="D14" s="134"/>
      <c r="E14" s="134"/>
    </row>
    <row r="15" spans="1:3" s="133" customFormat="1" ht="15">
      <c r="A15" s="142" t="s">
        <v>160</v>
      </c>
      <c r="B15" s="149"/>
      <c r="C15" s="149"/>
    </row>
    <row r="16" spans="1:3" s="28" customFormat="1" ht="15">
      <c r="A16" s="28" t="str">
        <f>Berechnung!D13</f>
        <v>Absolventen pro Jahr</v>
      </c>
      <c r="C16" s="24">
        <f>Berechnung!E13</f>
        <v>142.5</v>
      </c>
    </row>
    <row r="17" spans="1:3" s="28" customFormat="1" ht="15">
      <c r="A17" s="68" t="str">
        <f>Ergebnisse!A5</f>
        <v>1. Investitionen pro Jahr</v>
      </c>
      <c r="B17" s="68" t="s">
        <v>207</v>
      </c>
      <c r="C17" s="146">
        <f>Ergebnisse!C5</f>
        <v>22.68</v>
      </c>
    </row>
    <row r="18" spans="1:4" s="28" customFormat="1" ht="15">
      <c r="A18" s="68" t="str">
        <f>Ergebnisse!A6</f>
        <v>2. Kosten pro Absolvent</v>
      </c>
      <c r="B18" s="24"/>
      <c r="C18" s="146"/>
      <c r="D18" s="113"/>
    </row>
    <row r="19" spans="1:4" s="28" customFormat="1" ht="15">
      <c r="A19" s="68" t="str">
        <f>Ergebnisse!A7</f>
        <v> - durchschnittlich</v>
      </c>
      <c r="B19" s="24"/>
      <c r="C19" s="68">
        <f>Ergebnisse!C7</f>
        <v>159000</v>
      </c>
      <c r="D19" s="113"/>
    </row>
    <row r="20" spans="1:4" s="28" customFormat="1" ht="15">
      <c r="A20" s="68" t="str">
        <f>Ergebnisse!A8</f>
        <v> - Laufbahnbewerber ("Einsteiger")</v>
      </c>
      <c r="B20" s="24"/>
      <c r="C20" s="68">
        <f>Ergebnisse!C8</f>
        <v>118000</v>
      </c>
      <c r="D20" s="113"/>
    </row>
    <row r="21" spans="1:4" s="28" customFormat="1" ht="15">
      <c r="A21" s="68" t="str">
        <f>Ergebnisse!A9</f>
        <v> - Aufsteiger</v>
      </c>
      <c r="B21" s="24"/>
      <c r="C21" s="68">
        <f>Ergebnisse!C9</f>
        <v>200000</v>
      </c>
      <c r="D21" s="113"/>
    </row>
    <row r="22" spans="1:4" s="28" customFormat="1" ht="15">
      <c r="A22" s="68" t="str">
        <f>Ergebnisse!A10</f>
        <v>3. Kosten pro Lehrv.-stunde (45 Min.) und  25 Studierenden pro Kurs</v>
      </c>
      <c r="B22" s="24"/>
      <c r="C22" s="68"/>
      <c r="D22" s="113"/>
    </row>
    <row r="23" spans="1:4" s="28" customFormat="1" ht="15">
      <c r="A23" s="68" t="str">
        <f>Ergebnisse!A11</f>
        <v> - Personalkosten Hauptamtler</v>
      </c>
      <c r="B23" s="24"/>
      <c r="C23" s="68">
        <f>Ergebnisse!C11</f>
        <v>154.79876160990713</v>
      </c>
      <c r="D23" s="113"/>
    </row>
    <row r="24" spans="1:4" s="28" customFormat="1" ht="15">
      <c r="A24" s="68" t="str">
        <f>Ergebnisse!A12</f>
        <v> - Personalkosten 25 Studierende</v>
      </c>
      <c r="B24" s="24"/>
      <c r="C24" s="68">
        <f>Ergebnisse!C12</f>
        <v>747.8355267063706</v>
      </c>
      <c r="D24" s="113"/>
    </row>
    <row r="25" spans="1:4" s="28" customFormat="1" ht="15">
      <c r="A25" s="74" t="str">
        <f>Ergebnisse!A13</f>
        <v> - Sachkosten</v>
      </c>
      <c r="B25" s="25"/>
      <c r="C25" s="74">
        <f>Ergebnisse!C13</f>
        <v>109.36269669662163</v>
      </c>
      <c r="D25" s="113"/>
    </row>
    <row r="26" spans="1:4" s="28" customFormat="1" ht="15">
      <c r="A26" s="68" t="str">
        <f>Ergebnisse!A14</f>
        <v>Summe </v>
      </c>
      <c r="B26" s="24"/>
      <c r="C26" s="68">
        <f>Ergebnisse!C14</f>
        <v>1011.9969850128994</v>
      </c>
      <c r="D26" s="113"/>
    </row>
    <row r="27" spans="1:4" s="28" customFormat="1" ht="15">
      <c r="A27" s="68"/>
      <c r="B27" s="24"/>
      <c r="C27" s="68"/>
      <c r="D27" s="113"/>
    </row>
    <row r="28" spans="1:6" s="28" customFormat="1" ht="15">
      <c r="A28" s="68" t="str">
        <f>Ergebnisse!A15</f>
        <v>4. Zusatzkosten d. Wiederholung LBP (Verlängerung um 0,5 Jahre)</v>
      </c>
      <c r="B28" s="68"/>
      <c r="C28" s="68"/>
      <c r="D28" s="68"/>
      <c r="E28" s="68"/>
      <c r="F28" s="68"/>
    </row>
    <row r="29" spans="1:6" s="28" customFormat="1" ht="15">
      <c r="A29" s="68" t="str">
        <f>Ergebnisse!A16</f>
        <v>pro Einsteiger</v>
      </c>
      <c r="B29" s="68"/>
      <c r="C29" s="68">
        <f>Ergebnisse!C16</f>
        <v>12793.486499999999</v>
      </c>
      <c r="D29" s="68"/>
      <c r="E29" s="68"/>
      <c r="F29" s="68"/>
    </row>
    <row r="30" spans="1:6" s="28" customFormat="1" ht="15">
      <c r="A30" s="68" t="str">
        <f>Ergebnisse!A20</f>
        <v>Zur Kostenstruktur</v>
      </c>
      <c r="B30" s="68"/>
      <c r="C30" s="68"/>
      <c r="D30" s="68"/>
      <c r="E30" s="68"/>
      <c r="F30" s="68"/>
    </row>
    <row r="31" spans="1:6" s="28" customFormat="1" ht="15">
      <c r="A31" s="68" t="str">
        <f>Ergebnisse!A21</f>
        <v>5. Personalkostenanteil der Lehre (bei hauptamtl. Doz.)</v>
      </c>
      <c r="B31" s="68"/>
      <c r="C31" s="68"/>
      <c r="D31" s="68"/>
      <c r="E31" s="150">
        <f>Ergebnisse!E21</f>
        <v>0.07863678804855274</v>
      </c>
      <c r="F31" s="68"/>
    </row>
    <row r="32" spans="1:6" s="28" customFormat="1" ht="15">
      <c r="A32" s="68" t="str">
        <f>Ergebnisse!A22</f>
        <v>6. Personalkostenanteil der Studierenden</v>
      </c>
      <c r="B32" s="68"/>
      <c r="C32" s="68"/>
      <c r="D32" s="68"/>
      <c r="E32" s="150">
        <f>Ergebnisse!E22</f>
        <v>0.7806856622767858</v>
      </c>
      <c r="F32" s="68"/>
    </row>
    <row r="33" spans="1:6" s="28" customFormat="1" ht="15">
      <c r="A33" s="68"/>
      <c r="B33" s="68"/>
      <c r="C33" s="68"/>
      <c r="D33" s="68"/>
      <c r="E33" s="68"/>
      <c r="F33" s="68"/>
    </row>
    <row r="34" spans="1:6" s="28" customFormat="1" ht="15">
      <c r="A34" s="68"/>
      <c r="B34" s="68"/>
      <c r="C34" s="68"/>
      <c r="D34" s="68"/>
      <c r="E34" s="68"/>
      <c r="F34" s="68"/>
    </row>
    <row r="35" spans="1:6" s="28" customFormat="1" ht="15">
      <c r="A35" s="68"/>
      <c r="B35" s="68"/>
      <c r="C35" s="68"/>
      <c r="D35" s="68"/>
      <c r="E35" s="68"/>
      <c r="F35" s="68"/>
    </row>
    <row r="36" spans="1:4" s="28" customFormat="1" ht="15">
      <c r="A36" s="68"/>
      <c r="B36" s="24"/>
      <c r="C36" s="68"/>
      <c r="D36" s="113"/>
    </row>
    <row r="37" spans="1:4" s="28" customFormat="1" ht="15">
      <c r="A37" s="68"/>
      <c r="B37" s="24"/>
      <c r="C37" s="68"/>
      <c r="D37" s="113"/>
    </row>
    <row r="38" spans="1:4" s="28" customFormat="1" ht="15">
      <c r="A38" s="68"/>
      <c r="B38" s="24"/>
      <c r="C38" s="68"/>
      <c r="D38" s="113"/>
    </row>
    <row r="39" spans="2:5" s="28" customFormat="1" ht="15">
      <c r="B39" s="24"/>
      <c r="C39" s="24"/>
      <c r="D39" s="24"/>
      <c r="E39" s="24"/>
    </row>
    <row r="40" spans="2:5" s="28" customFormat="1" ht="15">
      <c r="B40" s="24"/>
      <c r="C40" s="24"/>
      <c r="D40" s="24"/>
      <c r="E40" s="24"/>
    </row>
    <row r="41" spans="2:5" s="28" customFormat="1" ht="15">
      <c r="B41" s="24"/>
      <c r="C41" s="24"/>
      <c r="D41" s="24"/>
      <c r="E41" s="24"/>
    </row>
    <row r="42" spans="2:5" s="28" customFormat="1" ht="15">
      <c r="B42" s="24"/>
      <c r="C42" s="24"/>
      <c r="D42" s="24"/>
      <c r="E42" s="24"/>
    </row>
    <row r="43" spans="2:5" s="28" customFormat="1" ht="15">
      <c r="B43" s="24"/>
      <c r="C43" s="24"/>
      <c r="D43" s="24"/>
      <c r="E43" s="24"/>
    </row>
    <row r="44" spans="2:5" s="28" customFormat="1" ht="15">
      <c r="B44" s="24"/>
      <c r="C44" s="24"/>
      <c r="D44" s="24"/>
      <c r="E44" s="24"/>
    </row>
    <row r="45" spans="2:5" s="28" customFormat="1" ht="15">
      <c r="B45" s="24"/>
      <c r="C45" s="24"/>
      <c r="D45" s="24"/>
      <c r="E45" s="24"/>
    </row>
    <row r="46" spans="2:5" s="28" customFormat="1" ht="15">
      <c r="B46" s="24"/>
      <c r="C46" s="24"/>
      <c r="D46" s="24"/>
      <c r="E46" s="24"/>
    </row>
    <row r="47" spans="2:5" s="28" customFormat="1" ht="15">
      <c r="B47" s="24"/>
      <c r="C47" s="24"/>
      <c r="D47" s="24"/>
      <c r="E47" s="24"/>
    </row>
    <row r="48" spans="2:5" s="28" customFormat="1" ht="15">
      <c r="B48" s="24"/>
      <c r="C48" s="24"/>
      <c r="D48" s="24"/>
      <c r="E48" s="24"/>
    </row>
    <row r="49" spans="2:5" s="28" customFormat="1" ht="15">
      <c r="B49" s="24"/>
      <c r="C49" s="24"/>
      <c r="D49" s="24"/>
      <c r="E49" s="24"/>
    </row>
    <row r="50" spans="2:5" s="28" customFormat="1" ht="15">
      <c r="B50" s="24"/>
      <c r="C50" s="24"/>
      <c r="D50" s="24"/>
      <c r="E50" s="24"/>
    </row>
    <row r="51" spans="2:5" s="28" customFormat="1" ht="15">
      <c r="B51" s="24"/>
      <c r="C51" s="24"/>
      <c r="D51" s="24"/>
      <c r="E51" s="24"/>
    </row>
    <row r="52" spans="2:5" s="28" customFormat="1" ht="15">
      <c r="B52" s="24"/>
      <c r="C52" s="24"/>
      <c r="D52" s="24"/>
      <c r="E52" s="24"/>
    </row>
    <row r="53" spans="2:5" s="28" customFormat="1" ht="15">
      <c r="B53" s="24"/>
      <c r="C53" s="24"/>
      <c r="D53" s="24"/>
      <c r="E53" s="24"/>
    </row>
    <row r="54" spans="2:5" s="28" customFormat="1" ht="15">
      <c r="B54" s="24"/>
      <c r="C54" s="24"/>
      <c r="D54" s="24"/>
      <c r="E54" s="24"/>
    </row>
    <row r="55" spans="2:5" s="28" customFormat="1" ht="15">
      <c r="B55" s="24"/>
      <c r="C55" s="24"/>
      <c r="D55" s="24"/>
      <c r="E55" s="24"/>
    </row>
    <row r="56" spans="2:5" s="28" customFormat="1" ht="15">
      <c r="B56" s="24"/>
      <c r="C56" s="24"/>
      <c r="D56" s="24"/>
      <c r="E56" s="24"/>
    </row>
    <row r="57" spans="2:5" s="28" customFormat="1" ht="15">
      <c r="B57" s="24"/>
      <c r="C57" s="24"/>
      <c r="D57" s="24"/>
      <c r="E57" s="24"/>
    </row>
    <row r="58" spans="2:5" s="28" customFormat="1" ht="15">
      <c r="B58" s="24"/>
      <c r="C58" s="24"/>
      <c r="D58" s="24"/>
      <c r="E58" s="24"/>
    </row>
    <row r="59" spans="2:5" s="28" customFormat="1" ht="15">
      <c r="B59" s="24"/>
      <c r="C59" s="24"/>
      <c r="D59" s="24"/>
      <c r="E59" s="24"/>
    </row>
    <row r="60" spans="2:5" s="28" customFormat="1" ht="15">
      <c r="B60" s="24"/>
      <c r="C60" s="24"/>
      <c r="D60" s="24"/>
      <c r="E60" s="24"/>
    </row>
    <row r="61" spans="2:5" s="28" customFormat="1" ht="15">
      <c r="B61" s="24"/>
      <c r="C61" s="24"/>
      <c r="D61" s="24"/>
      <c r="E61" s="24"/>
    </row>
    <row r="62" spans="2:5" s="28" customFormat="1" ht="15">
      <c r="B62" s="24"/>
      <c r="C62" s="24"/>
      <c r="D62" s="24"/>
      <c r="E62" s="24"/>
    </row>
    <row r="63" spans="2:5" s="28" customFormat="1" ht="15">
      <c r="B63" s="24"/>
      <c r="C63" s="24"/>
      <c r="D63" s="24"/>
      <c r="E63" s="24"/>
    </row>
    <row r="64" spans="2:5" s="28" customFormat="1" ht="15">
      <c r="B64" s="24"/>
      <c r="C64" s="24"/>
      <c r="D64" s="24"/>
      <c r="E64" s="24"/>
    </row>
    <row r="65" spans="2:5" s="28" customFormat="1" ht="15">
      <c r="B65" s="24"/>
      <c r="C65" s="24"/>
      <c r="D65" s="24"/>
      <c r="E65" s="24"/>
    </row>
    <row r="66" spans="2:5" s="28" customFormat="1" ht="15">
      <c r="B66" s="24"/>
      <c r="C66" s="24"/>
      <c r="D66" s="24"/>
      <c r="E66" s="24"/>
    </row>
    <row r="67" spans="2:5" s="28" customFormat="1" ht="15">
      <c r="B67" s="24"/>
      <c r="C67" s="24"/>
      <c r="D67" s="24"/>
      <c r="E67" s="24"/>
    </row>
    <row r="68" spans="2:5" s="28" customFormat="1" ht="15">
      <c r="B68" s="24"/>
      <c r="C68" s="24"/>
      <c r="D68" s="24"/>
      <c r="E68" s="24"/>
    </row>
    <row r="69" spans="2:5" s="28" customFormat="1" ht="15">
      <c r="B69" s="24"/>
      <c r="C69" s="24"/>
      <c r="D69" s="24"/>
      <c r="E69" s="24"/>
    </row>
    <row r="70" spans="2:5" s="28" customFormat="1" ht="15">
      <c r="B70" s="24"/>
      <c r="C70" s="24"/>
      <c r="D70" s="24"/>
      <c r="E70" s="24"/>
    </row>
    <row r="71" spans="2:5" s="28" customFormat="1" ht="15">
      <c r="B71" s="24"/>
      <c r="C71" s="24"/>
      <c r="D71" s="24"/>
      <c r="E71" s="24"/>
    </row>
    <row r="72" spans="2:5" s="28" customFormat="1" ht="15">
      <c r="B72" s="24"/>
      <c r="C72" s="24"/>
      <c r="D72" s="24"/>
      <c r="E72" s="24"/>
    </row>
    <row r="73" spans="2:5" s="28" customFormat="1" ht="15">
      <c r="B73" s="24"/>
      <c r="C73" s="24"/>
      <c r="D73" s="24"/>
      <c r="E73" s="24"/>
    </row>
    <row r="74" spans="2:5" s="28" customFormat="1" ht="15">
      <c r="B74" s="24"/>
      <c r="C74" s="24"/>
      <c r="D74" s="24"/>
      <c r="E74" s="24"/>
    </row>
    <row r="75" spans="2:5" s="28" customFormat="1" ht="15">
      <c r="B75" s="24"/>
      <c r="C75" s="24"/>
      <c r="D75" s="24"/>
      <c r="E75" s="24"/>
    </row>
    <row r="76" spans="2:5" s="28" customFormat="1" ht="15">
      <c r="B76" s="24"/>
      <c r="C76" s="24"/>
      <c r="D76" s="24"/>
      <c r="E76" s="24"/>
    </row>
    <row r="77" spans="2:5" s="28" customFormat="1" ht="15">
      <c r="B77" s="24"/>
      <c r="C77" s="24"/>
      <c r="D77" s="24"/>
      <c r="E77" s="24"/>
    </row>
    <row r="78" spans="2:5" s="28" customFormat="1" ht="15">
      <c r="B78" s="24"/>
      <c r="C78" s="24"/>
      <c r="D78" s="24"/>
      <c r="E78" s="24"/>
    </row>
    <row r="79" spans="2:5" s="28" customFormat="1" ht="15">
      <c r="B79" s="24"/>
      <c r="C79" s="24"/>
      <c r="D79" s="24"/>
      <c r="E79" s="24"/>
    </row>
    <row r="80" spans="2:5" s="28" customFormat="1" ht="15">
      <c r="B80" s="24"/>
      <c r="C80" s="24"/>
      <c r="D80" s="24"/>
      <c r="E80" s="24"/>
    </row>
    <row r="81" spans="2:5" s="28" customFormat="1" ht="15">
      <c r="B81" s="24"/>
      <c r="C81" s="24"/>
      <c r="D81" s="24"/>
      <c r="E81" s="24"/>
    </row>
    <row r="82" spans="2:5" s="28" customFormat="1" ht="15">
      <c r="B82" s="24"/>
      <c r="C82" s="24"/>
      <c r="D82" s="24"/>
      <c r="E82" s="24"/>
    </row>
    <row r="83" spans="2:5" s="28" customFormat="1" ht="15">
      <c r="B83" s="24"/>
      <c r="C83" s="24"/>
      <c r="D83" s="24"/>
      <c r="E83" s="24"/>
    </row>
    <row r="84" spans="2:5" s="28" customFormat="1" ht="15">
      <c r="B84" s="24"/>
      <c r="C84" s="24"/>
      <c r="D84" s="24"/>
      <c r="E84" s="24"/>
    </row>
    <row r="85" spans="2:5" s="28" customFormat="1" ht="15">
      <c r="B85" s="24"/>
      <c r="C85" s="24"/>
      <c r="D85" s="24"/>
      <c r="E85" s="24"/>
    </row>
    <row r="86" spans="2:5" s="28" customFormat="1" ht="15">
      <c r="B86" s="24"/>
      <c r="C86" s="24"/>
      <c r="D86" s="24"/>
      <c r="E86" s="24"/>
    </row>
    <row r="87" spans="2:5" s="28" customFormat="1" ht="15">
      <c r="B87" s="24"/>
      <c r="C87" s="24"/>
      <c r="D87" s="24"/>
      <c r="E87" s="24"/>
    </row>
    <row r="88" spans="2:5" s="28" customFormat="1" ht="15">
      <c r="B88" s="24"/>
      <c r="C88" s="24"/>
      <c r="D88" s="24"/>
      <c r="E88" s="24"/>
    </row>
    <row r="89" spans="2:5" s="28" customFormat="1" ht="15">
      <c r="B89" s="24"/>
      <c r="C89" s="24"/>
      <c r="D89" s="24"/>
      <c r="E89" s="24"/>
    </row>
    <row r="90" spans="2:5" s="28" customFormat="1" ht="15">
      <c r="B90" s="24"/>
      <c r="C90" s="24"/>
      <c r="D90" s="24"/>
      <c r="E90" s="24"/>
    </row>
    <row r="91" spans="2:5" s="28" customFormat="1" ht="15">
      <c r="B91" s="24"/>
      <c r="C91" s="24"/>
      <c r="D91" s="24"/>
      <c r="E91" s="24"/>
    </row>
    <row r="92" spans="2:5" s="28" customFormat="1" ht="15">
      <c r="B92" s="24"/>
      <c r="C92" s="24"/>
      <c r="D92" s="24"/>
      <c r="E92" s="24"/>
    </row>
    <row r="93" spans="2:5" s="28" customFormat="1" ht="15">
      <c r="B93" s="24"/>
      <c r="C93" s="24"/>
      <c r="D93" s="24"/>
      <c r="E93" s="24"/>
    </row>
    <row r="94" spans="2:5" s="28" customFormat="1" ht="15">
      <c r="B94" s="24"/>
      <c r="C94" s="24"/>
      <c r="D94" s="24"/>
      <c r="E94" s="24"/>
    </row>
    <row r="95" spans="2:5" s="28" customFormat="1" ht="15">
      <c r="B95" s="24"/>
      <c r="C95" s="24"/>
      <c r="D95" s="24"/>
      <c r="E95" s="24"/>
    </row>
    <row r="96" spans="2:5" s="28" customFormat="1" ht="15">
      <c r="B96" s="24"/>
      <c r="C96" s="24"/>
      <c r="D96" s="24"/>
      <c r="E96" s="24"/>
    </row>
    <row r="97" spans="2:5" s="28" customFormat="1" ht="15">
      <c r="B97" s="24"/>
      <c r="C97" s="24"/>
      <c r="D97" s="24"/>
      <c r="E97" s="24"/>
    </row>
    <row r="98" spans="2:5" s="28" customFormat="1" ht="15">
      <c r="B98" s="24"/>
      <c r="C98" s="24"/>
      <c r="D98" s="24"/>
      <c r="E98" s="24"/>
    </row>
    <row r="99" spans="2:5" s="28" customFormat="1" ht="15">
      <c r="B99" s="24"/>
      <c r="C99" s="24"/>
      <c r="D99" s="24"/>
      <c r="E99" s="24"/>
    </row>
    <row r="100" spans="2:5" s="28" customFormat="1" ht="15">
      <c r="B100" s="24"/>
      <c r="C100" s="24"/>
      <c r="D100" s="24"/>
      <c r="E100" s="24"/>
    </row>
    <row r="101" spans="2:5" s="28" customFormat="1" ht="15">
      <c r="B101" s="24"/>
      <c r="C101" s="24"/>
      <c r="D101" s="24"/>
      <c r="E101" s="24"/>
    </row>
    <row r="102" spans="2:5" s="28" customFormat="1" ht="15">
      <c r="B102" s="24"/>
      <c r="C102" s="24"/>
      <c r="D102" s="24"/>
      <c r="E102" s="24"/>
    </row>
    <row r="103" spans="2:5" s="28" customFormat="1" ht="15">
      <c r="B103" s="24"/>
      <c r="C103" s="24"/>
      <c r="D103" s="24"/>
      <c r="E103" s="24"/>
    </row>
    <row r="104" spans="2:5" s="28" customFormat="1" ht="15">
      <c r="B104" s="24"/>
      <c r="C104" s="24"/>
      <c r="D104" s="24"/>
      <c r="E104" s="24"/>
    </row>
    <row r="105" spans="2:5" s="28" customFormat="1" ht="15">
      <c r="B105" s="24"/>
      <c r="C105" s="24"/>
      <c r="D105" s="24"/>
      <c r="E105" s="24"/>
    </row>
    <row r="106" spans="2:5" s="28" customFormat="1" ht="15">
      <c r="B106" s="24"/>
      <c r="C106" s="24"/>
      <c r="D106" s="24"/>
      <c r="E106" s="24"/>
    </row>
    <row r="107" spans="2:5" s="28" customFormat="1" ht="15">
      <c r="B107" s="24"/>
      <c r="C107" s="24"/>
      <c r="D107" s="24"/>
      <c r="E107" s="24"/>
    </row>
    <row r="108" spans="2:5" s="28" customFormat="1" ht="15">
      <c r="B108" s="24"/>
      <c r="C108" s="24"/>
      <c r="D108" s="24"/>
      <c r="E108" s="24"/>
    </row>
    <row r="109" spans="2:5" s="28" customFormat="1" ht="15">
      <c r="B109" s="24"/>
      <c r="C109" s="24"/>
      <c r="D109" s="24"/>
      <c r="E109" s="24"/>
    </row>
    <row r="110" spans="2:5" s="28" customFormat="1" ht="15">
      <c r="B110" s="24"/>
      <c r="C110" s="24"/>
      <c r="D110" s="24"/>
      <c r="E110" s="24"/>
    </row>
    <row r="111" spans="2:5" s="28" customFormat="1" ht="15">
      <c r="B111" s="24"/>
      <c r="C111" s="24"/>
      <c r="D111" s="24"/>
      <c r="E111" s="24"/>
    </row>
    <row r="112" spans="2:5" s="28" customFormat="1" ht="15">
      <c r="B112" s="24"/>
      <c r="C112" s="24"/>
      <c r="D112" s="24"/>
      <c r="E112" s="24"/>
    </row>
    <row r="113" spans="2:5" s="28" customFormat="1" ht="15">
      <c r="B113" s="24"/>
      <c r="C113" s="24"/>
      <c r="D113" s="24"/>
      <c r="E113" s="24"/>
    </row>
    <row r="114" spans="2:5" s="28" customFormat="1" ht="15">
      <c r="B114" s="24"/>
      <c r="C114" s="24"/>
      <c r="D114" s="24"/>
      <c r="E114" s="24"/>
    </row>
    <row r="115" spans="2:5" s="28" customFormat="1" ht="15">
      <c r="B115" s="24"/>
      <c r="C115" s="24"/>
      <c r="D115" s="24"/>
      <c r="E115" s="24"/>
    </row>
    <row r="116" spans="2:5" s="28" customFormat="1" ht="15">
      <c r="B116" s="24"/>
      <c r="C116" s="24"/>
      <c r="D116" s="24"/>
      <c r="E116" s="24"/>
    </row>
    <row r="117" spans="2:5" s="28" customFormat="1" ht="15">
      <c r="B117" s="24"/>
      <c r="C117" s="24"/>
      <c r="D117" s="24"/>
      <c r="E117" s="24"/>
    </row>
    <row r="118" spans="2:5" s="28" customFormat="1" ht="15">
      <c r="B118" s="24"/>
      <c r="C118" s="24"/>
      <c r="D118" s="24"/>
      <c r="E118" s="24"/>
    </row>
    <row r="119" spans="2:5" s="28" customFormat="1" ht="15">
      <c r="B119" s="24"/>
      <c r="C119" s="24"/>
      <c r="D119" s="24"/>
      <c r="E119" s="24"/>
    </row>
    <row r="120" spans="2:5" s="28" customFormat="1" ht="15">
      <c r="B120" s="24"/>
      <c r="C120" s="24"/>
      <c r="D120" s="24"/>
      <c r="E120" s="24"/>
    </row>
    <row r="121" spans="2:5" s="28" customFormat="1" ht="15">
      <c r="B121" s="24"/>
      <c r="C121" s="24"/>
      <c r="D121" s="24"/>
      <c r="E121" s="24"/>
    </row>
    <row r="122" spans="2:5" s="28" customFormat="1" ht="15">
      <c r="B122" s="24"/>
      <c r="C122" s="24"/>
      <c r="D122" s="24"/>
      <c r="E122" s="24"/>
    </row>
    <row r="123" spans="2:5" s="28" customFormat="1" ht="15">
      <c r="B123" s="24"/>
      <c r="C123" s="24"/>
      <c r="D123" s="24"/>
      <c r="E123" s="24"/>
    </row>
    <row r="124" spans="2:5" s="28" customFormat="1" ht="15">
      <c r="B124" s="24"/>
      <c r="C124" s="24"/>
      <c r="D124" s="24"/>
      <c r="E124" s="24"/>
    </row>
    <row r="125" spans="2:5" s="28" customFormat="1" ht="15">
      <c r="B125" s="24"/>
      <c r="C125" s="24"/>
      <c r="D125" s="24"/>
      <c r="E125" s="24"/>
    </row>
    <row r="126" spans="2:5" s="28" customFormat="1" ht="15">
      <c r="B126" s="24"/>
      <c r="C126" s="24"/>
      <c r="D126" s="24"/>
      <c r="E126" s="24"/>
    </row>
    <row r="127" spans="2:5" s="28" customFormat="1" ht="15">
      <c r="B127" s="24"/>
      <c r="C127" s="24"/>
      <c r="D127" s="24"/>
      <c r="E127" s="24"/>
    </row>
    <row r="128" spans="2:5" s="28" customFormat="1" ht="15">
      <c r="B128" s="24"/>
      <c r="C128" s="24"/>
      <c r="D128" s="24"/>
      <c r="E128" s="24"/>
    </row>
    <row r="129" spans="2:5" s="28" customFormat="1" ht="15">
      <c r="B129" s="24"/>
      <c r="C129" s="24"/>
      <c r="D129" s="24"/>
      <c r="E129" s="24"/>
    </row>
    <row r="130" spans="2:5" s="28" customFormat="1" ht="15">
      <c r="B130" s="24"/>
      <c r="C130" s="24"/>
      <c r="D130" s="24"/>
      <c r="E130" s="24"/>
    </row>
    <row r="131" spans="2:5" s="28" customFormat="1" ht="15">
      <c r="B131" s="24"/>
      <c r="C131" s="24"/>
      <c r="D131" s="24"/>
      <c r="E131" s="24"/>
    </row>
    <row r="132" spans="2:5" s="28" customFormat="1" ht="15">
      <c r="B132" s="24"/>
      <c r="C132" s="24"/>
      <c r="D132" s="24"/>
      <c r="E132" s="24"/>
    </row>
    <row r="133" spans="2:5" s="28" customFormat="1" ht="15">
      <c r="B133" s="24"/>
      <c r="C133" s="24"/>
      <c r="D133" s="24"/>
      <c r="E133" s="24"/>
    </row>
    <row r="134" spans="2:5" s="28" customFormat="1" ht="15">
      <c r="B134" s="24"/>
      <c r="C134" s="24"/>
      <c r="D134" s="24"/>
      <c r="E134" s="24"/>
    </row>
    <row r="135" spans="2:5" s="28" customFormat="1" ht="15">
      <c r="B135" s="24"/>
      <c r="C135" s="24"/>
      <c r="D135" s="24"/>
      <c r="E135" s="24"/>
    </row>
    <row r="136" spans="2:5" s="28" customFormat="1" ht="15">
      <c r="B136" s="24"/>
      <c r="C136" s="24"/>
      <c r="D136" s="24"/>
      <c r="E136" s="24"/>
    </row>
    <row r="137" spans="2:5" s="28" customFormat="1" ht="15">
      <c r="B137" s="24"/>
      <c r="C137" s="24"/>
      <c r="D137" s="24"/>
      <c r="E137" s="24"/>
    </row>
    <row r="138" spans="2:5" s="28" customFormat="1" ht="15">
      <c r="B138" s="24"/>
      <c r="C138" s="24"/>
      <c r="D138" s="24"/>
      <c r="E138" s="24"/>
    </row>
    <row r="139" spans="2:5" s="28" customFormat="1" ht="15">
      <c r="B139" s="24"/>
      <c r="C139" s="24"/>
      <c r="D139" s="24"/>
      <c r="E139" s="24"/>
    </row>
    <row r="140" spans="2:5" s="28" customFormat="1" ht="15">
      <c r="B140" s="24"/>
      <c r="C140" s="24"/>
      <c r="D140" s="24"/>
      <c r="E140" s="24"/>
    </row>
    <row r="141" spans="2:5" s="28" customFormat="1" ht="15">
      <c r="B141" s="24"/>
      <c r="C141" s="24"/>
      <c r="D141" s="24"/>
      <c r="E141" s="24"/>
    </row>
    <row r="142" spans="2:5" s="28" customFormat="1" ht="15">
      <c r="B142" s="24"/>
      <c r="C142" s="24"/>
      <c r="D142" s="24"/>
      <c r="E142" s="24"/>
    </row>
    <row r="143" spans="2:5" s="28" customFormat="1" ht="15">
      <c r="B143" s="24"/>
      <c r="C143" s="24"/>
      <c r="D143" s="24"/>
      <c r="E143" s="24"/>
    </row>
    <row r="144" spans="2:5" s="28" customFormat="1" ht="15">
      <c r="B144" s="24"/>
      <c r="C144" s="24"/>
      <c r="D144" s="24"/>
      <c r="E144" s="24"/>
    </row>
    <row r="145" spans="2:5" s="28" customFormat="1" ht="15">
      <c r="B145" s="24"/>
      <c r="C145" s="24"/>
      <c r="D145" s="24"/>
      <c r="E145" s="24"/>
    </row>
    <row r="146" spans="2:5" s="28" customFormat="1" ht="15">
      <c r="B146" s="24"/>
      <c r="C146" s="24"/>
      <c r="D146" s="24"/>
      <c r="E146" s="24"/>
    </row>
    <row r="147" spans="2:5" s="28" customFormat="1" ht="15">
      <c r="B147" s="24"/>
      <c r="C147" s="24"/>
      <c r="D147" s="24"/>
      <c r="E147" s="24"/>
    </row>
    <row r="148" spans="2:5" s="28" customFormat="1" ht="15">
      <c r="B148" s="24"/>
      <c r="C148" s="24"/>
      <c r="D148" s="24"/>
      <c r="E148" s="24"/>
    </row>
    <row r="149" spans="2:5" s="28" customFormat="1" ht="15">
      <c r="B149" s="24"/>
      <c r="C149" s="24"/>
      <c r="D149" s="24"/>
      <c r="E149" s="24"/>
    </row>
    <row r="150" spans="2:5" s="28" customFormat="1" ht="15">
      <c r="B150" s="24"/>
      <c r="C150" s="24"/>
      <c r="D150" s="24"/>
      <c r="E150" s="24"/>
    </row>
    <row r="151" spans="2:5" s="28" customFormat="1" ht="15">
      <c r="B151" s="24"/>
      <c r="C151" s="24"/>
      <c r="D151" s="24"/>
      <c r="E151" s="24"/>
    </row>
    <row r="152" spans="2:5" s="28" customFormat="1" ht="15">
      <c r="B152" s="24"/>
      <c r="C152" s="24"/>
      <c r="D152" s="24"/>
      <c r="E152" s="24"/>
    </row>
    <row r="153" spans="2:5" s="28" customFormat="1" ht="15">
      <c r="B153" s="24"/>
      <c r="C153" s="24"/>
      <c r="D153" s="24"/>
      <c r="E153" s="24"/>
    </row>
    <row r="154" spans="2:5" s="28" customFormat="1" ht="15">
      <c r="B154" s="24"/>
      <c r="C154" s="24"/>
      <c r="D154" s="24"/>
      <c r="E154" s="24"/>
    </row>
    <row r="155" spans="2:5" s="28" customFormat="1" ht="15">
      <c r="B155" s="24"/>
      <c r="C155" s="24"/>
      <c r="D155" s="24"/>
      <c r="E155" s="24"/>
    </row>
    <row r="156" spans="2:5" s="28" customFormat="1" ht="15">
      <c r="B156" s="24"/>
      <c r="C156" s="24"/>
      <c r="D156" s="24"/>
      <c r="E156" s="24"/>
    </row>
    <row r="157" spans="2:5" s="28" customFormat="1" ht="15">
      <c r="B157" s="24"/>
      <c r="C157" s="24"/>
      <c r="D157" s="24"/>
      <c r="E157" s="24"/>
    </row>
    <row r="158" spans="2:5" s="28" customFormat="1" ht="15">
      <c r="B158" s="24"/>
      <c r="C158" s="24"/>
      <c r="D158" s="24"/>
      <c r="E158" s="24"/>
    </row>
    <row r="159" spans="2:5" s="28" customFormat="1" ht="15">
      <c r="B159" s="24"/>
      <c r="C159" s="24"/>
      <c r="D159" s="24"/>
      <c r="E159" s="24"/>
    </row>
    <row r="160" spans="2:5" s="28" customFormat="1" ht="15">
      <c r="B160" s="24"/>
      <c r="C160" s="24"/>
      <c r="D160" s="24"/>
      <c r="E160" s="24"/>
    </row>
    <row r="161" spans="2:5" s="28" customFormat="1" ht="15">
      <c r="B161" s="24"/>
      <c r="C161" s="24"/>
      <c r="D161" s="24"/>
      <c r="E161" s="24"/>
    </row>
    <row r="162" spans="2:5" s="28" customFormat="1" ht="15">
      <c r="B162" s="24"/>
      <c r="C162" s="24"/>
      <c r="D162" s="24"/>
      <c r="E162" s="24"/>
    </row>
    <row r="163" spans="2:5" s="28" customFormat="1" ht="15">
      <c r="B163" s="24"/>
      <c r="C163" s="24"/>
      <c r="D163" s="24"/>
      <c r="E163" s="24"/>
    </row>
    <row r="164" spans="2:5" s="28" customFormat="1" ht="15">
      <c r="B164" s="24"/>
      <c r="C164" s="24"/>
      <c r="D164" s="24"/>
      <c r="E164" s="24"/>
    </row>
    <row r="165" spans="2:5" s="28" customFormat="1" ht="15">
      <c r="B165" s="24"/>
      <c r="C165" s="24"/>
      <c r="D165" s="24"/>
      <c r="E165" s="24"/>
    </row>
    <row r="166" spans="2:5" s="28" customFormat="1" ht="15">
      <c r="B166" s="24"/>
      <c r="C166" s="24"/>
      <c r="D166" s="24"/>
      <c r="E166" s="24"/>
    </row>
    <row r="167" spans="2:5" s="28" customFormat="1" ht="15">
      <c r="B167" s="24"/>
      <c r="C167" s="24"/>
      <c r="D167" s="24"/>
      <c r="E167" s="24"/>
    </row>
    <row r="168" spans="2:5" s="28" customFormat="1" ht="15">
      <c r="B168" s="24"/>
      <c r="C168" s="24"/>
      <c r="D168" s="24"/>
      <c r="E168" s="24"/>
    </row>
    <row r="169" spans="2:5" s="28" customFormat="1" ht="15">
      <c r="B169" s="24"/>
      <c r="C169" s="24"/>
      <c r="D169" s="24"/>
      <c r="E169" s="24"/>
    </row>
    <row r="170" spans="2:5" s="28" customFormat="1" ht="15">
      <c r="B170" s="24"/>
      <c r="C170" s="24"/>
      <c r="D170" s="24"/>
      <c r="E170" s="24"/>
    </row>
    <row r="171" spans="2:5" s="28" customFormat="1" ht="15">
      <c r="B171" s="24"/>
      <c r="C171" s="24"/>
      <c r="D171" s="24"/>
      <c r="E171" s="24"/>
    </row>
    <row r="172" spans="2:5" s="28" customFormat="1" ht="15">
      <c r="B172" s="24"/>
      <c r="C172" s="24"/>
      <c r="D172" s="24"/>
      <c r="E172" s="24"/>
    </row>
    <row r="173" spans="2:5" s="28" customFormat="1" ht="15">
      <c r="B173" s="24"/>
      <c r="C173" s="24"/>
      <c r="D173" s="24"/>
      <c r="E173" s="24"/>
    </row>
    <row r="174" spans="2:5" s="28" customFormat="1" ht="15">
      <c r="B174" s="24"/>
      <c r="C174" s="24"/>
      <c r="D174" s="24"/>
      <c r="E174" s="24"/>
    </row>
    <row r="175" spans="2:5" s="28" customFormat="1" ht="15">
      <c r="B175" s="24"/>
      <c r="C175" s="24"/>
      <c r="D175" s="24"/>
      <c r="E175" s="24"/>
    </row>
    <row r="176" spans="2:5" s="28" customFormat="1" ht="15">
      <c r="B176" s="24"/>
      <c r="C176" s="24"/>
      <c r="D176" s="24"/>
      <c r="E176" s="24"/>
    </row>
    <row r="177" spans="2:5" s="28" customFormat="1" ht="15">
      <c r="B177" s="24"/>
      <c r="C177" s="24"/>
      <c r="D177" s="24"/>
      <c r="E177" s="24"/>
    </row>
    <row r="178" spans="2:5" s="28" customFormat="1" ht="15">
      <c r="B178" s="24"/>
      <c r="C178" s="24"/>
      <c r="D178" s="24"/>
      <c r="E178" s="24"/>
    </row>
    <row r="179" spans="2:5" s="28" customFormat="1" ht="15">
      <c r="B179" s="24"/>
      <c r="C179" s="24"/>
      <c r="D179" s="24"/>
      <c r="E179" s="24"/>
    </row>
    <row r="180" spans="2:5" s="28" customFormat="1" ht="15">
      <c r="B180" s="24"/>
      <c r="C180" s="24"/>
      <c r="D180" s="24"/>
      <c r="E180" s="24"/>
    </row>
    <row r="181" spans="2:5" s="28" customFormat="1" ht="15">
      <c r="B181" s="24"/>
      <c r="C181" s="24"/>
      <c r="D181" s="24"/>
      <c r="E181" s="24"/>
    </row>
    <row r="182" spans="2:5" s="28" customFormat="1" ht="15">
      <c r="B182" s="24"/>
      <c r="C182" s="24"/>
      <c r="D182" s="24"/>
      <c r="E182" s="24"/>
    </row>
    <row r="183" spans="2:5" s="28" customFormat="1" ht="15">
      <c r="B183" s="24"/>
      <c r="C183" s="24"/>
      <c r="D183" s="24"/>
      <c r="E183" s="24"/>
    </row>
    <row r="184" spans="2:5" s="28" customFormat="1" ht="15">
      <c r="B184" s="24"/>
      <c r="C184" s="24"/>
      <c r="D184" s="24"/>
      <c r="E184" s="24"/>
    </row>
    <row r="185" spans="2:5" s="28" customFormat="1" ht="15">
      <c r="B185" s="24"/>
      <c r="C185" s="24"/>
      <c r="D185" s="24"/>
      <c r="E185" s="24"/>
    </row>
    <row r="186" spans="2:5" s="28" customFormat="1" ht="15">
      <c r="B186" s="24"/>
      <c r="C186" s="24"/>
      <c r="D186" s="24"/>
      <c r="E186" s="24"/>
    </row>
    <row r="187" spans="2:5" s="28" customFormat="1" ht="15">
      <c r="B187" s="24"/>
      <c r="C187" s="24"/>
      <c r="D187" s="24"/>
      <c r="E187" s="24"/>
    </row>
    <row r="188" spans="2:5" s="28" customFormat="1" ht="15">
      <c r="B188" s="24"/>
      <c r="C188" s="24"/>
      <c r="D188" s="24"/>
      <c r="E188" s="24"/>
    </row>
    <row r="189" spans="2:5" s="28" customFormat="1" ht="15">
      <c r="B189" s="24"/>
      <c r="C189" s="24"/>
      <c r="D189" s="24"/>
      <c r="E189" s="24"/>
    </row>
    <row r="190" spans="2:5" s="28" customFormat="1" ht="15">
      <c r="B190" s="24"/>
      <c r="C190" s="24"/>
      <c r="D190" s="24"/>
      <c r="E190" s="24"/>
    </row>
    <row r="191" spans="2:5" s="28" customFormat="1" ht="15">
      <c r="B191" s="24"/>
      <c r="C191" s="24"/>
      <c r="D191" s="24"/>
      <c r="E191" s="24"/>
    </row>
    <row r="192" spans="2:5" s="28" customFormat="1" ht="15">
      <c r="B192" s="24"/>
      <c r="C192" s="24"/>
      <c r="D192" s="24"/>
      <c r="E192" s="24"/>
    </row>
    <row r="193" spans="2:5" s="28" customFormat="1" ht="15">
      <c r="B193" s="24"/>
      <c r="C193" s="24"/>
      <c r="D193" s="24"/>
      <c r="E193" s="24"/>
    </row>
    <row r="194" spans="2:5" s="28" customFormat="1" ht="15">
      <c r="B194" s="24"/>
      <c r="C194" s="24"/>
      <c r="D194" s="24"/>
      <c r="E194" s="24"/>
    </row>
    <row r="195" spans="2:5" s="28" customFormat="1" ht="15">
      <c r="B195" s="24"/>
      <c r="C195" s="24"/>
      <c r="D195" s="24"/>
      <c r="E195" s="24"/>
    </row>
    <row r="196" spans="2:5" s="28" customFormat="1" ht="15">
      <c r="B196" s="24"/>
      <c r="C196" s="24"/>
      <c r="D196" s="24"/>
      <c r="E196" s="24"/>
    </row>
    <row r="197" spans="2:5" s="28" customFormat="1" ht="15">
      <c r="B197" s="24"/>
      <c r="C197" s="24"/>
      <c r="D197" s="24"/>
      <c r="E197" s="24"/>
    </row>
    <row r="198" spans="2:5" s="28" customFormat="1" ht="15">
      <c r="B198" s="24"/>
      <c r="C198" s="24"/>
      <c r="D198" s="24"/>
      <c r="E198" s="24"/>
    </row>
    <row r="199" spans="2:5" s="28" customFormat="1" ht="15">
      <c r="B199" s="24"/>
      <c r="C199" s="24"/>
      <c r="D199" s="24"/>
      <c r="E199" s="24"/>
    </row>
    <row r="200" spans="2:5" s="28" customFormat="1" ht="15">
      <c r="B200" s="24"/>
      <c r="C200" s="24"/>
      <c r="D200" s="24"/>
      <c r="E200" s="24"/>
    </row>
    <row r="201" spans="2:5" s="28" customFormat="1" ht="15">
      <c r="B201" s="24"/>
      <c r="C201" s="24"/>
      <c r="D201" s="24"/>
      <c r="E201" s="24"/>
    </row>
    <row r="202" spans="2:5" s="28" customFormat="1" ht="15">
      <c r="B202" s="24"/>
      <c r="C202" s="24"/>
      <c r="D202" s="24"/>
      <c r="E202" s="24"/>
    </row>
  </sheetData>
  <sheetProtection password="E152" sheet="1" objects="1" scenarios="1"/>
  <printOptions horizontalCentered="1"/>
  <pageMargins left="0.7874015748031497" right="0.3937007874015748" top="0.984251968503937" bottom="0.984251968503937" header="0.5905511811023623" footer="0.5118110236220472"/>
  <pageSetup horizontalDpi="600" verticalDpi="600" orientation="portrait" paperSize="9" scale="93" r:id="rId1"/>
  <headerFooter alignWithMargins="0">
    <oddHeader>&amp;L&amp;"Arial,Fett"&amp;14Bildungsinvestionen in die AIV-Ausbildung pro Jahr&amp;R&amp;12Seite &amp;P von &amp;N</oddHeader>
    <oddFooter>&amp;L&amp;11&amp;F&amp;C&amp;11Version 1.2
© Krems 2004-05&amp;R&amp;11&amp;D - &amp;T</oddFooter>
  </headerFooter>
</worksheet>
</file>

<file path=xl/worksheets/sheet4.xml><?xml version="1.0" encoding="utf-8"?>
<worksheet xmlns="http://schemas.openxmlformats.org/spreadsheetml/2006/main" xmlns:r="http://schemas.openxmlformats.org/officeDocument/2006/relationships">
  <dimension ref="A1:D20"/>
  <sheetViews>
    <sheetView workbookViewId="0" topLeftCell="A1">
      <selection activeCell="B11" sqref="B11"/>
    </sheetView>
  </sheetViews>
  <sheetFormatPr defaultColWidth="11.421875" defaultRowHeight="12.75"/>
  <cols>
    <col min="1" max="1" width="4.7109375" style="104" customWidth="1"/>
    <col min="2" max="2" width="9.421875" style="104" customWidth="1"/>
    <col min="3" max="3" width="75.140625" style="102" customWidth="1"/>
    <col min="4" max="16384" width="11.421875" style="100" customWidth="1"/>
  </cols>
  <sheetData>
    <row r="1" spans="1:3" ht="15">
      <c r="A1" s="110" t="s">
        <v>149</v>
      </c>
      <c r="B1" s="110"/>
      <c r="C1" s="111" t="s">
        <v>155</v>
      </c>
    </row>
    <row r="2" spans="1:2" ht="15" hidden="1">
      <c r="A2" s="107" t="s">
        <v>150</v>
      </c>
      <c r="B2" s="108" t="s">
        <v>151</v>
      </c>
    </row>
    <row r="3" spans="1:4" ht="15" hidden="1">
      <c r="A3" s="105">
        <v>1</v>
      </c>
      <c r="D3" s="100" t="str">
        <f>"Anm. "&amp;TEXT(A3,A3)</f>
        <v>Anm. 1</v>
      </c>
    </row>
    <row r="4" spans="1:4" ht="15" hidden="1">
      <c r="A4" s="105">
        <v>2</v>
      </c>
      <c r="D4" s="100" t="str">
        <f>"Anm. "&amp;TEXT(A4,A4)</f>
        <v>Anm. 2</v>
      </c>
    </row>
    <row r="5" spans="1:4" ht="15" hidden="1">
      <c r="A5" s="105">
        <v>3</v>
      </c>
      <c r="D5" s="100" t="str">
        <f>"Anm. "&amp;TEXT(A5,A5)</f>
        <v>Anm. 3</v>
      </c>
    </row>
    <row r="6" spans="1:4" ht="15" hidden="1">
      <c r="A6" s="105">
        <v>4</v>
      </c>
      <c r="D6" s="100" t="str">
        <f>"Anm. "&amp;TEXT(A6,A6)</f>
        <v>Anm. 4</v>
      </c>
    </row>
    <row r="7" ht="15" hidden="1">
      <c r="A7" s="105">
        <v>5</v>
      </c>
    </row>
    <row r="8" ht="15" hidden="1">
      <c r="A8" s="105">
        <v>6</v>
      </c>
    </row>
    <row r="9" ht="15" hidden="1">
      <c r="A9" s="105">
        <v>7</v>
      </c>
    </row>
    <row r="10" ht="15" hidden="1">
      <c r="A10" s="105"/>
    </row>
    <row r="11" ht="15">
      <c r="A11" s="105"/>
    </row>
    <row r="12" spans="1:3" s="99" customFormat="1" ht="15">
      <c r="A12" s="106" t="s">
        <v>154</v>
      </c>
      <c r="B12" s="103"/>
      <c r="C12" s="101"/>
    </row>
    <row r="13" spans="1:3" ht="15">
      <c r="A13" s="104" t="s">
        <v>148</v>
      </c>
      <c r="C13" s="102" t="s">
        <v>152</v>
      </c>
    </row>
    <row r="14" spans="1:3" ht="30.75">
      <c r="A14" s="104" t="s">
        <v>6</v>
      </c>
      <c r="C14" s="102" t="s">
        <v>145</v>
      </c>
    </row>
    <row r="15" spans="1:3" ht="30.75">
      <c r="A15" s="104" t="s">
        <v>156</v>
      </c>
      <c r="C15" s="102" t="s">
        <v>157</v>
      </c>
    </row>
    <row r="16" spans="1:3" ht="15">
      <c r="A16" s="104" t="s">
        <v>143</v>
      </c>
      <c r="C16" s="102" t="s">
        <v>230</v>
      </c>
    </row>
    <row r="17" spans="1:3" ht="15">
      <c r="A17" s="104" t="s">
        <v>27</v>
      </c>
      <c r="C17" s="102" t="s">
        <v>144</v>
      </c>
    </row>
    <row r="18" spans="1:3" ht="15">
      <c r="A18" s="104" t="s">
        <v>146</v>
      </c>
      <c r="C18" s="102" t="s">
        <v>147</v>
      </c>
    </row>
    <row r="19" spans="1:3" ht="15">
      <c r="A19" s="100" t="s">
        <v>158</v>
      </c>
      <c r="B19" s="100"/>
      <c r="C19" s="112" t="s">
        <v>159</v>
      </c>
    </row>
    <row r="20" spans="1:3" ht="15">
      <c r="A20" s="104" t="s">
        <v>142</v>
      </c>
      <c r="C20" s="102" t="s">
        <v>231</v>
      </c>
    </row>
  </sheetData>
  <sheetProtection password="E152" sheet="1" objects="1" scenarios="1"/>
  <hyperlinks>
    <hyperlink ref="C1" location="begriffe" display="(Link zu Abkürzungen / Begriffen)"/>
    <hyperlink ref="C19" r:id="rId1" display="Online-Verwaltungslexikon http://www.olev.de"/>
  </hyperlinks>
  <printOptions horizontalCentered="1"/>
  <pageMargins left="0.7874015748031497" right="0.3937007874015748" top="0.984251968503937" bottom="0.984251968503937" header="0.5905511811023623" footer="0.5118110236220472"/>
  <pageSetup horizontalDpi="600" verticalDpi="600" orientation="portrait" paperSize="9" scale="93" r:id="rId2"/>
  <headerFooter alignWithMargins="0">
    <oddHeader>&amp;L&amp;"Arial,Fett"&amp;14Bildungsinvestionen in die AIV-Ausbildung pro Jahr&amp;R&amp;12Seite &amp;P von &amp;N</oddHeader>
    <oddFooter>&amp;L&amp;11&amp;F&amp;C&amp;11Version 1.2
© Krems 2004-05&amp;R&amp;11&amp;D - &amp;T</oddFooter>
  </headerFooter>
</worksheet>
</file>

<file path=xl/worksheets/sheet5.xml><?xml version="1.0" encoding="utf-8"?>
<worksheet xmlns="http://schemas.openxmlformats.org/spreadsheetml/2006/main" xmlns:r="http://schemas.openxmlformats.org/officeDocument/2006/relationships">
  <dimension ref="A1:B7"/>
  <sheetViews>
    <sheetView workbookViewId="0" topLeftCell="A1">
      <selection activeCell="B7" sqref="B7"/>
    </sheetView>
  </sheetViews>
  <sheetFormatPr defaultColWidth="11.421875" defaultRowHeight="12.75"/>
  <cols>
    <col min="1" max="1" width="13.7109375" style="104" customWidth="1"/>
    <col min="2" max="2" width="76.57421875" style="102" customWidth="1"/>
    <col min="3" max="16384" width="11.421875" style="100" customWidth="1"/>
  </cols>
  <sheetData>
    <row r="1" spans="1:2" s="99" customFormat="1" ht="15">
      <c r="A1" s="103" t="s">
        <v>137</v>
      </c>
      <c r="B1" s="101" t="s">
        <v>138</v>
      </c>
    </row>
    <row r="2" spans="1:2" ht="15">
      <c r="A2" s="104">
        <v>37807</v>
      </c>
      <c r="B2" s="102" t="s">
        <v>139</v>
      </c>
    </row>
    <row r="3" spans="1:2" ht="45.75">
      <c r="A3" s="104">
        <v>38119</v>
      </c>
      <c r="B3" s="102" t="s">
        <v>189</v>
      </c>
    </row>
    <row r="4" spans="1:2" ht="15">
      <c r="A4" s="104">
        <v>38160</v>
      </c>
      <c r="B4" s="102" t="s">
        <v>218</v>
      </c>
    </row>
    <row r="5" ht="15">
      <c r="B5" s="102" t="s">
        <v>219</v>
      </c>
    </row>
    <row r="6" spans="1:2" ht="15">
      <c r="A6" s="104">
        <v>38658</v>
      </c>
      <c r="B6" s="102" t="s">
        <v>225</v>
      </c>
    </row>
    <row r="7" spans="1:2" ht="15">
      <c r="A7" s="104">
        <v>39208</v>
      </c>
      <c r="B7" s="102" t="s">
        <v>225</v>
      </c>
    </row>
  </sheetData>
  <sheetProtection password="E152" sheet="1" objects="1" scenarios="1"/>
  <printOptions horizontalCentered="1"/>
  <pageMargins left="0.7874015748031497" right="0.3937007874015748" top="0.984251968503937" bottom="0.984251968503937" header="0.5905511811023623" footer="0.5118110236220472"/>
  <pageSetup horizontalDpi="600" verticalDpi="600" orientation="portrait" paperSize="9" scale="93" r:id="rId1"/>
  <headerFooter alignWithMargins="0">
    <oddHeader>&amp;L&amp;"Arial,Fett"&amp;14Bildungsinvestionen in die AIV-Ausbildung pro Jahr&amp;R&amp;12Seite &amp;P von &amp;N</oddHeader>
    <oddFooter>&amp;L&amp;11&amp;F&amp;C&amp;11Version 1.2
© Krems 2004-05&amp;R&amp;11&amp;D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 Bund, Brühl / Rhld.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Burkhardt Krems</dc:creator>
  <cp:keywords/>
  <dc:description/>
  <cp:lastModifiedBy>Krems</cp:lastModifiedBy>
  <cp:lastPrinted>2005-11-02T20:13:52Z</cp:lastPrinted>
  <dcterms:created xsi:type="dcterms:W3CDTF">2003-05-29T03:46:37Z</dcterms:created>
  <dcterms:modified xsi:type="dcterms:W3CDTF">2007-05-06T15:25:01Z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